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65521" windowWidth="15480" windowHeight="11370" tabRatio="916" activeTab="0"/>
  </bookViews>
  <sheets>
    <sheet name="1. WQv and WQf" sheetId="1" r:id="rId1"/>
    <sheet name="Infiltration Trench_Dry Well" sheetId="2" r:id="rId2"/>
    <sheet name="Infiltration Basin" sheetId="3" r:id="rId3"/>
    <sheet name="Permeable Pavement" sheetId="4" r:id="rId4"/>
    <sheet name="Detention Pond" sheetId="5" r:id="rId5"/>
    <sheet name="Detention Vault" sheetId="6" r:id="rId6"/>
    <sheet name="Wet Ponds_Wetlands" sheetId="7" r:id="rId7"/>
    <sheet name="VRF" sheetId="8" r:id="rId8"/>
    <sheet name="Bioretention" sheetId="9" r:id="rId9"/>
    <sheet name="Media Filter" sheetId="10" r:id="rId10"/>
    <sheet name="Swales-Volume" sheetId="11" r:id="rId11"/>
    <sheet name="Swales-Flow" sheetId="12" r:id="rId12"/>
    <sheet name="Buffer Strip" sheetId="13" r:id="rId13"/>
    <sheet name="RWH Instructions" sheetId="14" r:id="rId14"/>
    <sheet name="RWH Calculator" sheetId="15" r:id="rId15"/>
  </sheets>
  <definedNames>
    <definedName name="Input" localSheetId="0">'1. WQv and WQf'!$D$5:$D$6,'1. WQv and WQf'!$B$12:$B$21,'1. WQv and WQf'!$C$12:$C$21,'1. WQv and WQf'!$E$12:$I$21,'1. WQv and WQf'!$K$12:$T$21,'1. WQv and WQf'!$H$28,'1. WQv and WQf'!$Q$33,'1. WQv and WQf'!$Q$35</definedName>
    <definedName name="Input" localSheetId="8">'Bioretention'!$C$11:$C$13,'Bioretention'!$C$16,'Bioretention'!$C$20,'Bioretention'!$C$25,'Bioretention'!$C$34:$C$36,'Bioretention'!$C$39,'Bioretention'!$C$43,'Bioretention'!$C$48</definedName>
    <definedName name="Input" localSheetId="12">'Buffer Strip'!$C$9</definedName>
    <definedName name="Input" localSheetId="4">'Detention Pond'!$C$9,'Detention Pond'!$C$13:$C$16</definedName>
    <definedName name="Input" localSheetId="5">'Detention Vault'!$C$10:$C$12,'Detention Vault'!$C$23:$C$24</definedName>
    <definedName name="Input" localSheetId="2">'Infiltration Basin'!$C$9:$C$10,'Infiltration Basin'!$C$15:$C$16,'Infiltration Basin'!$C$18</definedName>
    <definedName name="Input" localSheetId="1">'Infiltration Trench_Dry Well'!$C$10,'Infiltration Trench_Dry Well'!$C$12,'Infiltration Trench_Dry Well'!$C$16,'Infiltration Trench_Dry Well'!$C$19,'Infiltration Trench_Dry Well'!$C$23,'Infiltration Trench_Dry Well'!$C$34:$C$37,'Infiltration Trench_Dry Well'!$C$41,'Infiltration Trench_Dry Well'!$C$44</definedName>
    <definedName name="Input" localSheetId="9">'Media Filter'!$C$10:$C$13,'Media Filter'!$C$17,'Media Filter'!$C$24,'Media Filter'!$C$27,'Media Filter'!$C$35:$C$36</definedName>
    <definedName name="Input" localSheetId="3">'Permeable Pavement'!$C$10:$C$12,'Permeable Pavement'!$C$15,'Permeable Pavement'!$C$21:$C$22,'Permeable Pavement'!$C$27</definedName>
    <definedName name="Input" localSheetId="14">'RWH Calculator'!$C$12:$C$17,'RWH Calculator'!$C$21:$C$22,'RWH Calculator'!$C$43,'RWH Calculator'!$C$45:$C$47,'RWH Calculator'!$C$52,'RWH Calculator'!$C$54:$C$55,'RWH Calculator'!$C$62:$C$67,'RWH Calculator'!$C$73,'RWH Calculator'!$C$95:$C$98,'RWH Calculator'!$C$102:$C$103</definedName>
    <definedName name="Input" localSheetId="11">'Swales-Flow'!$C$10:$C$13,'Swales-Flow'!$C$22:$C$23,'Swales-Flow'!$C$30</definedName>
    <definedName name="Input" localSheetId="10">'Swales-Volume'!$C$10:$C$14,'Swales-Volume'!$C$17,'Swales-Volume'!$C$25,'Swales-Volume'!$C$31:$C$32</definedName>
    <definedName name="Input" localSheetId="7">'VRF'!$C$10,'VRF'!$C$16,'VRF'!$C$20,'VRF'!$C$26,'VRF'!$C$39,'VRF'!$C$41</definedName>
    <definedName name="Input" localSheetId="6">'Wet Ponds_Wetlands'!$C$9,'Wet Ponds_Wetlands'!$C$12,'Wet Ponds_Wetlands'!$C$17:$C$18,'Wet Ponds_Wetlands'!$C$20:$C$22</definedName>
    <definedName name="_xlnm.Print_Area" localSheetId="0">'1. WQv and WQf'!$A$1:$U$94</definedName>
    <definedName name="_xlnm.Print_Area" localSheetId="8">'Bioretention'!$A$1:$H$93</definedName>
    <definedName name="_xlnm.Print_Area" localSheetId="12">'Buffer Strip'!$A$1:$K$25</definedName>
    <definedName name="_xlnm.Print_Area" localSheetId="4">'Detention Pond'!$A$1:$E$58</definedName>
    <definedName name="_xlnm.Print_Area" localSheetId="5">'Detention Vault'!$A$1:$K$50</definedName>
    <definedName name="_xlnm.Print_Area" localSheetId="1">'Infiltration Trench_Dry Well'!$A$1:$H$84</definedName>
    <definedName name="_xlnm.Print_Area" localSheetId="9">'Media Filter'!$A$1:$H$75</definedName>
    <definedName name="_xlnm.Print_Area" localSheetId="3">'Permeable Pavement'!$A$1:$E$58</definedName>
    <definedName name="_xlnm.Print_Area" localSheetId="14">'RWH Calculator'!$A$1:$K$125</definedName>
    <definedName name="_xlnm.Print_Area" localSheetId="13">'RWH Instructions'!$A$1:$R$48</definedName>
    <definedName name="_xlnm.Print_Area" localSheetId="11">'Swales-Flow'!$A$1:$D$71</definedName>
    <definedName name="_xlnm.Print_Area" localSheetId="10">'Swales-Volume'!$A$1:$D$75</definedName>
    <definedName name="_xlnm.Print_Area" localSheetId="6">'Wet Ponds_Wetlands'!$A$1:$E$76</definedName>
  </definedNames>
  <calcPr fullCalcOnLoad="1"/>
</workbook>
</file>

<file path=xl/sharedStrings.xml><?xml version="1.0" encoding="utf-8"?>
<sst xmlns="http://schemas.openxmlformats.org/spreadsheetml/2006/main" count="1574" uniqueCount="1021">
  <si>
    <r>
      <t xml:space="preserve">Select whether the site is located in western or eastern San Francisco.  Sites located in the foggier western half of the city will have lower evapotranspiration values. Other conditions not included in the Calculator may also effect irrigation water demand, such as soil salt concentration, soil evaporation rate, trees in turf, etc. If you feel these special conditions may apply to your site, please see Chapters 7 and 8 of the </t>
    </r>
    <r>
      <rPr>
        <i/>
        <sz val="10"/>
        <rFont val="Arial"/>
        <family val="2"/>
      </rPr>
      <t>Guide</t>
    </r>
    <r>
      <rPr>
        <sz val="10"/>
        <rFont val="Arial"/>
        <family val="2"/>
      </rPr>
      <t xml:space="preserve">.  </t>
    </r>
  </si>
  <si>
    <t xml:space="preserve">The monthly irrigation demand is calculated in the table.  Referenced evapotranspiration rates are from CIMIS (DWR 2005). </t>
  </si>
  <si>
    <t xml:space="preserve">Enter the gallons per toilet flush. Recommended values based on LEED and SFPUC are 0.8 for ultra low-flow, 1.1 for low-flow, 1.6 for conventional post-1995 construction, 3.05 for conventional existing facilities built in 1995 or earlier. </t>
  </si>
  <si>
    <t>Enter any additional non-potable demand in gallons per day. This includes industrial uses, heating/cooling, and all other permitted indoor uses.</t>
  </si>
  <si>
    <t>A value of 0.85 is recommended for roofs. Please refer to page 93 of the Stormwater Design Guidelines for other values.</t>
  </si>
  <si>
    <t xml:space="preserve">Enter the runoff coefficient for the area draining to the cistern. A value of 0.85 is recommended for roofs. Please see page 93 of Stormwater Design Guidelines for other values.  </t>
  </si>
  <si>
    <t xml:space="preserve">Enter the runoff coefficient and square footage of the area draining to the cistern. A value of 0.85 is recommended for roofs. Other values can be found on p. 93 of the Stormwater Design Guidelines  </t>
  </si>
  <si>
    <t xml:space="preserve">The runoff percent capture and the percent of non-potable demand are calculated here. (Note: if percent capture is &lt;80%, additional BMPs will be necessary) </t>
  </si>
  <si>
    <r>
      <t>Alternate</t>
    </r>
    <r>
      <rPr>
        <b/>
        <sz val="10"/>
        <rFont val="Arial"/>
        <family val="2"/>
      </rPr>
      <t xml:space="preserve"> Part III - Calculate Runoff Captured by Cistern Based on Available Area</t>
    </r>
  </si>
  <si>
    <t>Part I calculates the monthly irrigation demand, Part II calculates the indoor non-potable demand, and Part III sizes the cistern.</t>
  </si>
  <si>
    <t xml:space="preserve">The Water Quality Flow Rate (WQf) for each DMA is calculated here. The WQf is the required flowrate to be managed by flow-based BMPs such that the water quality performance measure requirements are met. </t>
  </si>
  <si>
    <t>recommend 2 (applied to underlying infiltration rate)</t>
  </si>
  <si>
    <t>Depth of Gravel above Permanent Pool in VRF</t>
  </si>
  <si>
    <t>% of total WQv stored by forebay (usually 10-20%)</t>
  </si>
  <si>
    <t>Hydraulic Conductivity of Gravel - k</t>
  </si>
  <si>
    <t>ft/day</t>
  </si>
  <si>
    <t>% of WQv stored in VRF</t>
  </si>
  <si>
    <t xml:space="preserve">% of total WQv stored in VRF </t>
  </si>
  <si>
    <t>Length of VRF</t>
  </si>
  <si>
    <t>Volume of Forebay</t>
  </si>
  <si>
    <t>Depth of Permanent Pool Gravel</t>
  </si>
  <si>
    <t>feet, typically 1.5 to 3.5 feet, recommend 2.5 feet</t>
  </si>
  <si>
    <t>Volume in VRF</t>
  </si>
  <si>
    <t>Flow Rate through Filter</t>
  </si>
  <si>
    <t xml:space="preserve">hrs, must be between 12 and 48 hrs. If t &lt;12, decrease width or provide outlet control. </t>
  </si>
  <si>
    <t>Impervious DA</t>
  </si>
  <si>
    <t xml:space="preserve">The trench/dry well surface area calculator determines the base surface area of the trench/dry well that is required to treat the design WQv. </t>
  </si>
  <si>
    <t>Detention Vault Calculator - by Water Quality Volume</t>
  </si>
  <si>
    <t>To Determine the Required Dimensions for Volume-based VRFs (i.e., those capturing the WQv).</t>
  </si>
  <si>
    <t>Enter the percent of the WQv to be stored by the pretreatment forebay, typically between 10% - 20%, recommend 10%.</t>
  </si>
  <si>
    <t>The percent of the WQv to be stored by the VRF is calculated as 100% - Forebay Storage %.</t>
  </si>
  <si>
    <t xml:space="preserve">For online systems, enter the Manning's n at maximum design depth. Maximum depth is typically between 1 to 2 feet.  For vegetated channels an n between 0.35 - 0.45 is recommended. However, the value of n can be highly variable based on the design depth and the degree of retardance in the swale (i.e., vegetation type and height, check dams, etc.). </t>
  </si>
  <si>
    <t>Estimated Swale Drainage Area</t>
  </si>
  <si>
    <t>Swale Area/Drainage Area</t>
  </si>
  <si>
    <t>Enter the Manning's n runoff coefficient. At the water quality depth, an n value between 0.2 and 0.3 is typical. The Manning's equation is an open channel flow equation used for drainage design.</t>
  </si>
  <si>
    <t xml:space="preserve">The velocity in the swale during the water quality event is calculated here. The velocity should be less than 1 ft/s. </t>
  </si>
  <si>
    <t>The longitudinal slope of the swale, this is calculated from your DMA contour survey or similar.</t>
  </si>
  <si>
    <r>
      <t xml:space="preserve">The default porosity and the design hydraulic conductivity of the filter media are entered here. </t>
    </r>
    <r>
      <rPr>
        <sz val="10"/>
        <color indexed="8"/>
        <rFont val="Arial"/>
        <family val="2"/>
      </rPr>
      <t xml:space="preserve">The conductivity is based on using sand media. Unless another media is used, changing these default values is not recommended. </t>
    </r>
  </si>
  <si>
    <t xml:space="preserve">Enter the proposed length to width ratio of the vault.  A ratio &gt; 2:1 is preferred.  A 2:1 ratio should be entered as "2", a 3:1 as "3", etc. </t>
  </si>
  <si>
    <t xml:space="preserve">Enter the drawdown time for the vault (48 hrs is recommended). </t>
  </si>
  <si>
    <r>
      <rPr>
        <i/>
        <sz val="10"/>
        <rFont val="Arial"/>
        <family val="2"/>
      </rPr>
      <t>A</t>
    </r>
    <r>
      <rPr>
        <sz val="10"/>
        <rFont val="Arial"/>
        <family val="2"/>
      </rPr>
      <t xml:space="preserve"> = drainage area (square feet)</t>
    </r>
  </si>
  <si>
    <t xml:space="preserve">These calculators determine the vegetated rock filter (VRF) dimensions needed to treat the Water Quality Volume (WQv) or Water Quality Flow Rate (WQf). </t>
  </si>
  <si>
    <t xml:space="preserve">Enter the total square footage of your site. Areas are entered in units of square feet. Note: 1 acre = 43,560 square feet. </t>
  </si>
  <si>
    <t xml:space="preserve">Max Design Depth </t>
  </si>
  <si>
    <t xml:space="preserve">The depth of the engineered soil beneath the swale. </t>
  </si>
  <si>
    <t xml:space="preserve">The required depth of the storage layer is calculated here.  The depth is as needed to store the WQv, with a minimum depth of 6".  </t>
  </si>
  <si>
    <t xml:space="preserve">A freeboard of 0.50 ft for online systems and 0.25 ft for offline systems is recommended. This freeboard is added to the design depth to calculate the total depth of the swale. </t>
  </si>
  <si>
    <t xml:space="preserve">Enter the design water depth of the infiltration basin (i.e., the water depth when the basin has completely captured the WQv event). Depths are typically between 1 and 3 feet. This depth DOES NOT include freeboard, which is typically 1 foot above the design depth (freeboard should be added in actual design). </t>
  </si>
  <si>
    <t>Water Quality Volume (WQv)</t>
  </si>
  <si>
    <t xml:space="preserve">The required surface area of the forebay and VRF are calculated here. </t>
  </si>
  <si>
    <t xml:space="preserve">Filters sized using a flow-based approach are typically proprietary filters.  It is recommended that the manufacturer's instructions be used to size these systems.  However, a simplified calculator has also been provided in steps 16 through 18 for added guidance. </t>
  </si>
  <si>
    <t xml:space="preserve">The time taken for water quality storm to fill the media filter storage area. </t>
  </si>
  <si>
    <r>
      <t xml:space="preserve">United States Green Building Council. 2007. </t>
    </r>
    <r>
      <rPr>
        <i/>
        <sz val="12"/>
        <rFont val="Times New Roman"/>
        <family val="1"/>
      </rPr>
      <t>LEED New Construction v2.2 Reference Manual.</t>
    </r>
    <r>
      <rPr>
        <sz val="12"/>
        <rFont val="Times New Roman"/>
        <family val="1"/>
      </rPr>
      <t xml:space="preserve"> Third Edition October 2007.</t>
    </r>
  </si>
  <si>
    <t>24 hour curves</t>
  </si>
  <si>
    <t>48 hour curves</t>
  </si>
  <si>
    <t>C =1</t>
  </si>
  <si>
    <t>C=1</t>
  </si>
  <si>
    <t>Assumes 24hr drawdown time</t>
  </si>
  <si>
    <t>Design Trench Depth - d</t>
  </si>
  <si>
    <t>July</t>
  </si>
  <si>
    <t>August</t>
  </si>
  <si>
    <t>cycles/person/day</t>
  </si>
  <si>
    <t>Recommend 0.3 for multi-family, 0.37 for single family</t>
  </si>
  <si>
    <t>Volume per Load</t>
  </si>
  <si>
    <t>gal/cycle</t>
  </si>
  <si>
    <t xml:space="preserve">Enter the number of residential units at the site and the average people per unit.  People per unit typically ranges from 2 to 3. </t>
  </si>
  <si>
    <t xml:space="preserve">The flow rate through the filter is calculated here. Runoff flows horizontally from the upstream end to the downstream end of the VRF. </t>
  </si>
  <si>
    <t>The depth of the filter that does not drain, controlled by a weir or standpipe at the downstream end of the filter.</t>
  </si>
  <si>
    <t>Depth of Gravel (d)</t>
  </si>
  <si>
    <t xml:space="preserve">Enter the side slope of the basin. The slope of earthen side walls should be no steeper than 3:1 (i.e., at least 3 feet horizontal for each 1 foot vertical). Enter 0 for vertical hardscaped sidewalls. </t>
  </si>
  <si>
    <t>feet (typically 1 to 2 feet for wetlands, 1 to 3 feet for wet pond)</t>
  </si>
  <si>
    <t>Wet Pond or Wetland</t>
  </si>
  <si>
    <t>Drain time for WQv - t</t>
  </si>
  <si>
    <t>hours (between 24-28, recommend 48 hours)</t>
  </si>
  <si>
    <t xml:space="preserve">Select whether you are designing a wet pond or wetland. </t>
  </si>
  <si>
    <t xml:space="preserve">The WQv design drain time is entered here.  The time should be between 24 and 48 hours, with 48 hours being recommended. </t>
  </si>
  <si>
    <t>Water Quality Flow Rate - WQf</t>
  </si>
  <si>
    <r>
      <t>Vegetated roofs should be designed in accordance with the SDG to capture the WQv from the roof DMA</t>
    </r>
    <r>
      <rPr>
        <sz val="10"/>
        <color indexed="10"/>
        <rFont val="Arial"/>
        <family val="2"/>
      </rPr>
      <t xml:space="preserve">. </t>
    </r>
  </si>
  <si>
    <t>Water Quality Volume - WQv</t>
  </si>
  <si>
    <t>Recommend 15 for ultra-efficient and 35 for conventional (Energy Star 2008, SFPUC 2004)</t>
  </si>
  <si>
    <t>Other Non-Potable Demand</t>
  </si>
  <si>
    <t>gal/day</t>
  </si>
  <si>
    <t>The required permanent pool volume is calculated here. The permanent pool should be equal to the WQv for wetlands and two times the WQv for wet ponds.</t>
  </si>
  <si>
    <t xml:space="preserve">The required live storage volume is calculated here. This is typically equal to the WQv. </t>
  </si>
  <si>
    <t>Length of Pond Bottom</t>
  </si>
  <si>
    <t>Permanent Pool Depth</t>
  </si>
  <si>
    <t>Live Storage Volume</t>
  </si>
  <si>
    <t>Permanent Pool Volume</t>
  </si>
  <si>
    <t>Check of Permanent Pool Volume</t>
  </si>
  <si>
    <t>Check of Live Storage Volume</t>
  </si>
  <si>
    <t xml:space="preserve">This step checks that the storage volume is greater than the WQv entered in Step1. If the volume is less than the WQv, increase the pond width or depth. </t>
  </si>
  <si>
    <t>feet (generally between 2 and 5 feet, recommend 3 feet)</t>
  </si>
  <si>
    <t xml:space="preserve">The storage volume in the basin is calculated here. If the volume is less than the WQv entered in Step 1, increase the basin depth. </t>
  </si>
  <si>
    <t>feet, typically 0.25 to 0.75 feet, recommend 0.5 feet</t>
  </si>
  <si>
    <t xml:space="preserve">hrs, must be between 12 and 48 hrs. If t &lt;12, increase length or provide outlet control. </t>
  </si>
  <si>
    <t>Porosity of Gravel - n</t>
  </si>
  <si>
    <t>typically 0.3 to 0.4, recommend 0.35</t>
  </si>
  <si>
    <t xml:space="preserve">Width of the vegetated buffer strip in the direction of flow. The width extends from the boundary with the DMA to the downstream edge of the VBS. </t>
  </si>
  <si>
    <t>Vegetated Buffer Strips - by DMA width</t>
  </si>
  <si>
    <t xml:space="preserve">Enter the storage depth in the forebay, typically between 1 and 3 feet. </t>
  </si>
  <si>
    <t>feet per second</t>
  </si>
  <si>
    <t>5 ac</t>
  </si>
  <si>
    <t>Use steps 1 through 3 to determine the minimum width of the vegetated buffer strip to meet the treatment design requirements.</t>
  </si>
  <si>
    <r>
      <t xml:space="preserve">For volume-based sizing, use steps 1 through </t>
    </r>
    <r>
      <rPr>
        <sz val="10"/>
        <color indexed="8"/>
        <rFont val="Arial"/>
        <family val="2"/>
      </rPr>
      <t>15</t>
    </r>
    <r>
      <rPr>
        <sz val="10"/>
        <color indexed="10"/>
        <rFont val="Arial"/>
        <family val="2"/>
      </rPr>
      <t xml:space="preserve"> </t>
    </r>
    <r>
      <rPr>
        <sz val="10"/>
        <rFont val="Arial"/>
        <family val="2"/>
      </rPr>
      <t xml:space="preserve">to determine the required area of the media filter system. Volume-based filters provide a storage area to capture the WQv, and the filter area is sized to drain the WQv within the desired drain time. </t>
    </r>
  </si>
  <si>
    <t>DMA Width</t>
  </si>
  <si>
    <t>VBS Width</t>
  </si>
  <si>
    <t xml:space="preserve">The total depth of the gravel is calculated.  It is equal to the sum of depths entered in Steps 22 and 23. </t>
  </si>
  <si>
    <t>Follow the steps below to determine the required size of your wet pond/wetland.</t>
  </si>
  <si>
    <t xml:space="preserve">Follow the steps below to determine the required size of your basin. </t>
  </si>
  <si>
    <t>Follow the steps below to determine the required size of your detention pond.</t>
  </si>
  <si>
    <t xml:space="preserve">The minimum VBS width is calculated here, where width is measured in the direction of runoff. The VBS width should be greater than or equal to half the DMA width and should be no less than 15 feet. </t>
  </si>
  <si>
    <t xml:space="preserve">This step checks that the permanent pool and live storage volumes meet the required volumes calculated in Steps 4 and 5. If either volume is less than required, increase the basin width (Step 12) or depths (Steps 7 and 8). </t>
  </si>
  <si>
    <t>Ave. Discharge Rate for Drain Time</t>
  </si>
  <si>
    <t>Drain Time (t)</t>
  </si>
  <si>
    <t xml:space="preserve">Width of the DMA in the direction of flow. The width extends from the upstream edge of the DMA to the boundary with the VBS. </t>
  </si>
  <si>
    <t xml:space="preserve">This calculator determines the minimum width for a vegetated buffer strip based on the width of the Drainage Management Area (DMA). </t>
  </si>
  <si>
    <t>Is the DMA width &lt; 60 feet?</t>
  </si>
  <si>
    <t>feet</t>
  </si>
  <si>
    <t>Minimum VBS Width</t>
  </si>
  <si>
    <t>If the DMA width is greater than 60 feet, an additional treatment BMP must be used in conjunction with the VBS.</t>
  </si>
  <si>
    <t>Width of contributing DMA</t>
  </si>
  <si>
    <r>
      <t>For volume-based sizing, use steps 1-18</t>
    </r>
    <r>
      <rPr>
        <sz val="10"/>
        <color indexed="10"/>
        <rFont val="Arial"/>
        <family val="2"/>
      </rPr>
      <t xml:space="preserve"> </t>
    </r>
    <r>
      <rPr>
        <sz val="10"/>
        <rFont val="Arial"/>
        <family val="2"/>
      </rPr>
      <t xml:space="preserve">to determine the required dimensions of the VRF. Volume-based VRFs provide a storage area above the filter to capture the WQv, and the filter area is sized to drain the WQv within the desired drain time. </t>
    </r>
  </si>
  <si>
    <t xml:space="preserve">For flow-based sizing, use steps 19 - 28.  The cross-sectional area of flow-based VRFs are sized to convey the WQf, and the length of the VRF is sized to provide the desired residence time. </t>
  </si>
  <si>
    <t>Vegetated Rock Filter Calculator - by Water Quality Flow Rate</t>
  </si>
  <si>
    <t>An orifice is a flow restrictor. It drains the pond slowly to improve water treatment through settling of pollutants.</t>
  </si>
  <si>
    <t>inches (refine outlet control sizing and configuration during design)</t>
  </si>
  <si>
    <t xml:space="preserve">Flow Rate thru Orifice </t>
  </si>
  <si>
    <t>cubic feet (must be greater than 2x WQv for wet ponds, greater than 1x for wetlands)</t>
  </si>
  <si>
    <t xml:space="preserve">Enter the side slope of the swale. The slope of earthen side walls should be no steeper than 3:1 (i.e., at least 3 feet horizontal for each 1 foot vertical). Enter 0 for vertical sidewalls. </t>
  </si>
  <si>
    <t xml:space="preserve">Enter the side slope of the basin. The slope of earthen side walls should be no steeper than 3:1 (i.e., at least 3 feet horizontal for each 1 foot vertical). Enter 0 for vertical sidewalls. </t>
  </si>
  <si>
    <t xml:space="preserve">Enter the width of the basin bottom. </t>
  </si>
  <si>
    <t>DP + Forebay</t>
  </si>
  <si>
    <t>Surface Area at Mid Elevation</t>
  </si>
  <si>
    <t>A recommended safety factor of 2 will be applied to the infiltration rate to account for the inherent uncertainties in rate measurement and the decrease in infiltration rate over time.</t>
  </si>
  <si>
    <t xml:space="preserve">The recommended maximum drawdown time for the infiltration basin is 48 hours.  </t>
  </si>
  <si>
    <t>feet</t>
  </si>
  <si>
    <t xml:space="preserve">The average rate at which the underdrain system must drain the media layers is calculated here. During design, outlet controls must be sized accordingly to achieve the desired WQv drain time. </t>
  </si>
  <si>
    <t xml:space="preserve">The average discharge rate from the vault to obtain the desired drain time is calculated. During design, outlet controls must be sized accordingly to achieve the desired WQv drain time. </t>
  </si>
  <si>
    <t>The depth of the trench/dry well from the surface of the gravel backfill material.</t>
  </si>
  <si>
    <t>The longitudinal length of the trench.</t>
  </si>
  <si>
    <t>The width of the trench.</t>
  </si>
  <si>
    <t>n</t>
  </si>
  <si>
    <t xml:space="preserve">The time taken for the subsurface media to fill with runoff. </t>
  </si>
  <si>
    <t>Bedding Layer</t>
  </si>
  <si>
    <t>Available Live Storage Depth</t>
  </si>
  <si>
    <t>Wet Ponds and Wetlands Calculator - by Water Quality Volume</t>
  </si>
  <si>
    <t xml:space="preserve">Rain Event Captured </t>
  </si>
  <si>
    <t>Storm Percentile</t>
  </si>
  <si>
    <t>Runoff Captured</t>
  </si>
  <si>
    <t>Non-Potable Demand Met by Rainwater Harvesting</t>
  </si>
  <si>
    <t>Additional BMPs Required?</t>
  </si>
  <si>
    <t>Cistern Depth</t>
  </si>
  <si>
    <t>Cistern Surface Area</t>
  </si>
  <si>
    <t>Forebay Volume</t>
  </si>
  <si>
    <t>The depth of the basin from the design water level to the invert of the basin. Does not include freeboard.</t>
  </si>
  <si>
    <t>Design Rainfall Intensity (in/hr)</t>
  </si>
  <si>
    <t>WQf Performance Measure</t>
  </si>
  <si>
    <t xml:space="preserve">Identify the different impervious land surfaces for each DMA and enter their square footage. If a permeable pavement area (i.e., pervious concrete, porous asphalt, or permeable paver) will receive run-on from adjacent surfaces, then the entire paved area (including the area planned for permeable pavement) should be entered as an impervious surface. The required size of the permeable pavement facility can then be calculated using the permeable pavement sizer. </t>
  </si>
  <si>
    <t>Step 6</t>
  </si>
  <si>
    <t xml:space="preserve">Name each DMA and enter one name per row in the cells adjacent to "A", "B", "C", etc. </t>
  </si>
  <si>
    <t xml:space="preserve">Enter the square footage of each DMA. </t>
  </si>
  <si>
    <t>5 ac</t>
  </si>
  <si>
    <t>Dry well</t>
  </si>
  <si>
    <t>0.25 ac</t>
  </si>
  <si>
    <t>Media filter</t>
  </si>
  <si>
    <t>Infiltration basin</t>
  </si>
  <si>
    <t>10 ac</t>
  </si>
  <si>
    <r>
      <t>The storage volume in the pond is calculated here. Adjust the ba</t>
    </r>
    <r>
      <rPr>
        <sz val="10"/>
        <rFont val="Arial"/>
        <family val="2"/>
      </rPr>
      <t>sin depth</t>
    </r>
    <r>
      <rPr>
        <sz val="10"/>
        <rFont val="Arial"/>
        <family val="2"/>
      </rPr>
      <t xml:space="preserve"> and/or </t>
    </r>
    <r>
      <rPr>
        <sz val="10"/>
        <rFont val="Arial"/>
        <family val="2"/>
      </rPr>
      <t>width (entered in Steps 4 and 7, respectively) u</t>
    </r>
    <r>
      <rPr>
        <sz val="10"/>
        <rFont val="Arial"/>
        <family val="2"/>
      </rPr>
      <t>ntil the volume is greater than or equal to the WQv entered in Step 1.</t>
    </r>
  </si>
  <si>
    <t>Detention vault</t>
  </si>
  <si>
    <t>Number of FTEs</t>
  </si>
  <si>
    <t>Use for commercial and industrial facilities</t>
  </si>
  <si>
    <t>Number of Students/Visitors</t>
  </si>
  <si>
    <t>Number of Retail Customers</t>
  </si>
  <si>
    <t>Use for retail stores</t>
  </si>
  <si>
    <t>Freq. of Residential Toilet Use</t>
  </si>
  <si>
    <t>flush/person/day</t>
  </si>
  <si>
    <t>typically 3 to 6% of the impervious drainage area</t>
  </si>
  <si>
    <t>Cistern Width</t>
  </si>
  <si>
    <t>INFILTRATION BASIN CALCULATOR</t>
  </si>
  <si>
    <t>Forebay volume calculator (min size)</t>
  </si>
  <si>
    <t>Detention Pond Calculator - by Water Quality Volume</t>
  </si>
  <si>
    <t>Live storage volume calculator</t>
  </si>
  <si>
    <t xml:space="preserve">cool season grasses = 0.8, warm season grasses = 0.6.  Please see CIMIS publication for more information. </t>
  </si>
  <si>
    <t xml:space="preserve">The landscape coefficient is calculated here.  It is a product of the species, density, and microclimate factors. </t>
  </si>
  <si>
    <t xml:space="preserve">Note: For both the Port of San Francisco and the SFPUC, the WQf performance measure is based on a 0.2 in/hr rainfall intensity. </t>
  </si>
  <si>
    <r>
      <rPr>
        <i/>
        <sz val="10"/>
        <rFont val="Arial"/>
        <family val="2"/>
      </rPr>
      <t>d</t>
    </r>
    <r>
      <rPr>
        <sz val="10"/>
        <rFont val="Arial"/>
        <family val="2"/>
      </rPr>
      <t xml:space="preserve"> = design depth of rainfall (inches)</t>
    </r>
  </si>
  <si>
    <t>Use the "other" column, column T, for pervious land surfaces not described. Enter the square footage of the "other surface" in the table.  Below, in the Pervious Runoff Coefficients Table, enter a runoff coefficient, C, for the "other" pervious surface .</t>
  </si>
  <si>
    <t>Enter the infiltration rate of the underlying soils. This should be determined by geotechnical testing or, for conceptual studies, soil infiltration maps.  A safety factor of 2 will be applied to the infiltration rate to account for the inherent uncertainties in rate measurement and the decrease in infiltration rate over time. The default value for fill time is 2 hours. The default drain time is 48 hours. These values should not be changed unless explanation is provided by user.</t>
  </si>
  <si>
    <t xml:space="preserve">Enter the depth of the filter media. This is typically between 1.5 and 2 feet. </t>
  </si>
  <si>
    <t>Part I - Calculating Irrigation Demand</t>
  </si>
  <si>
    <t>Part II - Calculating Indoor Non-Potable Demand</t>
  </si>
  <si>
    <t>Part III - Calculate Cistern Size to Meet Desired Percent Capture</t>
  </si>
  <si>
    <t>inches/hour (enter 0 if system will be lined due to subsurface constraints)</t>
  </si>
  <si>
    <t xml:space="preserve">Select the type of PP system: permeable pavers, pervious concrete, or porous asphalt.  </t>
  </si>
  <si>
    <t>Transition Layer</t>
  </si>
  <si>
    <t>Area Draining to Filter</t>
  </si>
  <si>
    <t>Sizing Ratio (Filter Area/Drainage Area)</t>
  </si>
  <si>
    <t>Volume Stored in Filter Chamber</t>
  </si>
  <si>
    <t>Sed Chamber - Live Volume Storage Depth</t>
  </si>
  <si>
    <t>Sed Chamber - Area Calculator</t>
  </si>
  <si>
    <t>Sizing Ratio (BMP Area/Drainage Area)</t>
  </si>
  <si>
    <t>Depth of Filter Media - d</t>
  </si>
  <si>
    <t>feet (recommend  1.5 ft)</t>
  </si>
  <si>
    <t>pretreatment is highly recommended</t>
  </si>
  <si>
    <t>Desired WQv Drawdown Time</t>
  </si>
  <si>
    <t xml:space="preserve">The time for the trench/dry well to drain the water quality volume. </t>
  </si>
  <si>
    <t>Swale Area</t>
  </si>
  <si>
    <t>Swale Width</t>
  </si>
  <si>
    <t>square feet</t>
  </si>
  <si>
    <t>Asphalt</t>
  </si>
  <si>
    <t>Concrete</t>
  </si>
  <si>
    <t>Other</t>
  </si>
  <si>
    <t>Total Area Check</t>
  </si>
  <si>
    <t>cubic feet</t>
  </si>
  <si>
    <t>The slope of the sides of the swale, generally expressed as a ratio. The recommended steepest slope is 3:1.</t>
  </si>
  <si>
    <t>Total Site Area</t>
  </si>
  <si>
    <t>A</t>
  </si>
  <si>
    <t>B</t>
  </si>
  <si>
    <t>C</t>
  </si>
  <si>
    <t>D</t>
  </si>
  <si>
    <t>E</t>
  </si>
  <si>
    <t>F</t>
  </si>
  <si>
    <t>G</t>
  </si>
  <si>
    <t>H</t>
  </si>
  <si>
    <t>I</t>
  </si>
  <si>
    <t>J</t>
  </si>
  <si>
    <t>Total</t>
  </si>
  <si>
    <t>acres</t>
  </si>
  <si>
    <t>Area Impervious (all in square feet)</t>
  </si>
  <si>
    <t>TOTAL</t>
  </si>
  <si>
    <t>Standard Roof</t>
  </si>
  <si>
    <t>NEXT STEPS</t>
  </si>
  <si>
    <t>Freeboard</t>
  </si>
  <si>
    <t>Porosity (n)</t>
  </si>
  <si>
    <t>Fill Time (T)</t>
  </si>
  <si>
    <t>Depth (d)</t>
  </si>
  <si>
    <t>The time taken for the trench/ dry well to fill with runoff. Use recommended values or calculate iteratively with runoff hydrographs and trench volumes.</t>
  </si>
  <si>
    <t>Drawdown Time (t)</t>
  </si>
  <si>
    <t>The area of the base of the vault</t>
  </si>
  <si>
    <t>The maximum allowable depth of the trench/drywell is calculated here. In the next row, enter a design trench depth less than or equal to the max allowable depth.</t>
  </si>
  <si>
    <t>hours (1 to 2 hours, recommend 2)</t>
  </si>
  <si>
    <t xml:space="preserve">The default value for fill time is 1 hour. Changing this value is not recommended. </t>
  </si>
  <si>
    <t>Max Ponding Depth above Filter - Pd</t>
  </si>
  <si>
    <t>For adequate treatment a swale must provide at least 9 minutes residence time. Residence time is the amount of time that water is present in the swale (i.e. the time taken for water to travel from the start of the swale to the end).</t>
  </si>
  <si>
    <t>The length of the swale, multiplied by the overall swale width. This describes what area of the site will be occupied by the treatment swale.</t>
  </si>
  <si>
    <r>
      <t>Enter the treatment capacity of the filter media. The capacity is typically provided by the manufacturer in gpm/ft</t>
    </r>
    <r>
      <rPr>
        <vertAlign val="superscript"/>
        <sz val="10"/>
        <rFont val="Arial"/>
        <family val="2"/>
      </rPr>
      <t>2</t>
    </r>
    <r>
      <rPr>
        <sz val="10"/>
        <rFont val="Arial"/>
        <family val="2"/>
      </rPr>
      <t>. A capacity around 1 gpm/ft</t>
    </r>
    <r>
      <rPr>
        <vertAlign val="superscript"/>
        <sz val="10"/>
        <rFont val="Arial"/>
        <family val="2"/>
      </rPr>
      <t>2</t>
    </r>
    <r>
      <rPr>
        <sz val="10"/>
        <rFont val="Arial"/>
        <family val="2"/>
      </rPr>
      <t xml:space="preserve"> is typical of zeolite/perlite/granular activated carbon (ZPG) filters. </t>
    </r>
  </si>
  <si>
    <t>Discharge Rate for Desired Drain Time</t>
  </si>
  <si>
    <t>Velocity</t>
  </si>
  <si>
    <t>Required Swale Length</t>
  </si>
  <si>
    <t>Landscaping</t>
  </si>
  <si>
    <t>Grass Pavers/Turf Blocks</t>
  </si>
  <si>
    <t>Lawns/grass, sandy soil, slope&lt;2%</t>
  </si>
  <si>
    <t>Lawns/grass, sandy soil, slope&gt;7%</t>
  </si>
  <si>
    <t>Lawns/grass, heavy soil, slope&lt;2%</t>
  </si>
  <si>
    <t>Lawns/grass, heavy soil, slope&gt;7%</t>
  </si>
  <si>
    <t>Brick/Pavers</t>
  </si>
  <si>
    <t xml:space="preserve">The total depth of the gravel is calculated.  It is equal to the sum of depths entered in Steps 6 and 7. </t>
  </si>
  <si>
    <t>Check column U is "okay". If not, adjust areas accordingly.</t>
  </si>
  <si>
    <t>Enter the infiltration rate of the underlying soils. This should be determined by geotechnical testing or, for conceptual studies, soil infiltration maps. Enter zero if swale is to be lined.</t>
  </si>
  <si>
    <t>Infiltration Trench/Dry Well Calculator - by Water Quality Volume</t>
  </si>
  <si>
    <t>Infiltration Trench/Dry Well Calculator - by Available Dimensions</t>
  </si>
  <si>
    <t>INFILTRATION TRENCH/DRY WELL CALCULATOR</t>
  </si>
  <si>
    <t>To calculate actual trench dimensions, enter a desired width for the trench. Generally this will be between 3 and 8 feet, and not exceed 25 feet.</t>
  </si>
  <si>
    <t>recommend 0.035 - 0.045 for vegetated channel under high flows</t>
  </si>
  <si>
    <t xml:space="preserve">Total Swale Area </t>
  </si>
  <si>
    <t>Max Design Depth for Conveyance</t>
  </si>
  <si>
    <t>Velocity at Max Design Depth</t>
  </si>
  <si>
    <t>Swale Capacity at Max Design Depth</t>
  </si>
  <si>
    <t>hours (0-2 hours, recommend 2)</t>
  </si>
  <si>
    <t>Sizing Ratio (Swale Area/Drainage Area)</t>
  </si>
  <si>
    <t>Infiltration Rate - f</t>
  </si>
  <si>
    <t>To Determine The Required Area for Flow-Based Media Filters</t>
  </si>
  <si>
    <t xml:space="preserve">To Determine The Required Area for Volume-Based Media Filters </t>
  </si>
  <si>
    <t>This work sheet calculates the Water Quality Flow Rates or Water Quality Volumes for each drainage management area on your site.</t>
  </si>
  <si>
    <t>For flow-based measures, the treatment control measure must be sized such that it accommodates the Water Quality Flow Rate for each DMA.</t>
  </si>
  <si>
    <t>For volume-based measures, the treatment control measure must be sized such that it accommodates the Water Quality Volume for each DMA.</t>
  </si>
  <si>
    <t>The required dimensions for your WQv trench or dry well are determined here.</t>
  </si>
  <si>
    <t>These calculators size the area of permeable pavement to treat the Water Quality Volume (WQv). The calculator can be used for underdrained installations or infiltration installations.</t>
  </si>
  <si>
    <t xml:space="preserve">These calculators size the area of rain garden or flow-through planter to treat the Water Quality Volume (WQv), or calculate the volume of water treated given user entered available dimensions. </t>
  </si>
  <si>
    <t xml:space="preserve">These calculators size the area of the media filter system needed to treat the Water Quality Volume (WQv) or the Water Quality Flow Rate (WQf). </t>
  </si>
  <si>
    <t>This calculator sizes a vegetated swale to treat the Water Quality Flow Rate (WQf).</t>
  </si>
  <si>
    <t xml:space="preserve">The residence time for the WQf is calculated here. If the residence time is less than 12 hours, increase the VRF length or provide an outlet flow control device. </t>
  </si>
  <si>
    <t>VEGETATED ROCK FILTER CALCULATOR</t>
  </si>
  <si>
    <t>Manning's n</t>
  </si>
  <si>
    <t>Depth to GW/Bedrock</t>
  </si>
  <si>
    <t>Fill time - T</t>
  </si>
  <si>
    <t>Area Pervious (all in square feet)</t>
  </si>
  <si>
    <t>Impervious Runoff Coefficients</t>
  </si>
  <si>
    <t>Pervious Runoff Coefficients</t>
  </si>
  <si>
    <t>Composite Runoff Coefficient</t>
  </si>
  <si>
    <t>cubic feet/sec</t>
  </si>
  <si>
    <t>recommend 0.35</t>
  </si>
  <si>
    <t>Porosity - n</t>
  </si>
  <si>
    <t>Fill Time - T</t>
  </si>
  <si>
    <t xml:space="preserve">Measure of the ease in which water moves through a porous media, generally expressed as inches/hour.  </t>
  </si>
  <si>
    <t>inches</t>
  </si>
  <si>
    <t>Minimum Filter Area Calculator</t>
  </si>
  <si>
    <t>Available Width</t>
  </si>
  <si>
    <t>Treated Volume</t>
  </si>
  <si>
    <t>Available Area</t>
  </si>
  <si>
    <t>The required flow rate to be managed by the stormwater BMP such that the treatment requirements are met. The WQf is calculated by the Water Quality Volume and Water Quality Flow Rate Calculator.</t>
  </si>
  <si>
    <t>Enter the Water Quality Flow Rate (WQf) for the drainage management area (DMA). The WQf is calculated in Step 13 of the Water Quality Volume and Water Quality Flow Rate Calculator.</t>
  </si>
  <si>
    <t>Enter the Water Quality Volume (WQv) for the DMA. The WQv is calculated in Step 14 of the Water Quality Volume and Water Quality Flow Rate Calculator.</t>
  </si>
  <si>
    <t>Enter the Water Quality volume (WQv) for the DMA. The WQv is calculated in Step 14 of the Water Quality Volume and Water Quality Flow Rate Calculator.</t>
  </si>
  <si>
    <t xml:space="preserve">Enter the square footage of the area draining to the media filter system (see Water Quality Volume and Water Quality Flow Rate Calculator for area).  </t>
  </si>
  <si>
    <t xml:space="preserve">Enter the square footage of the area draining to the bioretention system (see Water Quality Volume and Water Quality Flow Rate Calculator for area).  </t>
  </si>
  <si>
    <t>Water Quality Flow Rate</t>
  </si>
  <si>
    <t>Water Quality Volume</t>
  </si>
  <si>
    <t>** Multiple cells can be used to treat larger areas</t>
  </si>
  <si>
    <t>1 ac **</t>
  </si>
  <si>
    <t>RAINWATER HARVESTING CALCULATOR</t>
  </si>
  <si>
    <t xml:space="preserve">Enter the width of the pond bottom at the invert of the detention pond. </t>
  </si>
  <si>
    <t>Time Needed to Infiltrate WQv (no underdrain)</t>
  </si>
  <si>
    <t>Enter a volume for the cistern.  Adjust the volume until the desired percent capture is met (typically at least 80%) or when 100% of non-potable demand is met.</t>
  </si>
  <si>
    <t xml:space="preserve">A sediment forebay should be used to isolate gross sediments as they enter the facility and to simplify sediment removal. </t>
  </si>
  <si>
    <t>A weir is a designed overflow facility, and is often the crest of the pond/wetland spillway.</t>
  </si>
  <si>
    <t>Spillway</t>
  </si>
  <si>
    <t xml:space="preserve">Gravel surfaces can be considered a permeable pavement system if designed in accordance with the storage layer requirements outlined in the permeable pavement sizer and fact sheet. The gravel should be an open graded crushed washed AASHTO No. 8 stone or larger.  The system should be designed to completely capture the WQv and either infiltrate it or detain it over a 48 hour period.    </t>
  </si>
  <si>
    <r>
      <t>Gravel</t>
    </r>
    <r>
      <rPr>
        <b/>
        <vertAlign val="superscript"/>
        <sz val="10"/>
        <rFont val="Arial"/>
        <family val="2"/>
      </rPr>
      <t>c</t>
    </r>
  </si>
  <si>
    <t xml:space="preserve">Choose jurisdication for performance measure. Projects in the Port of SF jurisdiction should select "1". Projects in SFPUC jurisdiction should select "2". </t>
  </si>
  <si>
    <t>Use DMA areas and drainage area constraints table to determine which BMPs are possible for which DMAs.</t>
  </si>
  <si>
    <t>Live Storage Volume</t>
  </si>
  <si>
    <t>September</t>
  </si>
  <si>
    <t>Water quality inlet</t>
  </si>
  <si>
    <t>Infiltration trench</t>
  </si>
  <si>
    <t>Vegetated rock filter</t>
  </si>
  <si>
    <t>no contraints</t>
  </si>
  <si>
    <t>Vegetated swale</t>
  </si>
  <si>
    <t>Permeable pavement</t>
  </si>
  <si>
    <t>Vegetated buffer strip</t>
  </si>
  <si>
    <r>
      <t>2(A</t>
    </r>
    <r>
      <rPr>
        <vertAlign val="subscript"/>
        <sz val="10"/>
        <rFont val="Arial"/>
        <family val="2"/>
      </rPr>
      <t>strip</t>
    </r>
    <r>
      <rPr>
        <sz val="10"/>
        <rFont val="Arial"/>
        <family val="2"/>
      </rPr>
      <t>)</t>
    </r>
  </si>
  <si>
    <t>Swirl separator</t>
  </si>
  <si>
    <t>Constructed wetland</t>
  </si>
  <si>
    <t>Drain insert</t>
  </si>
  <si>
    <t xml:space="preserve">Use steps 1 through 13 to determine the required area and drain rate for permeable pavement. </t>
  </si>
  <si>
    <t xml:space="preserve">Select Yes or No for whether a sedimentation chamber is included in the design.  Pretreatment is highly recommended for media filters.   </t>
  </si>
  <si>
    <t>3:1 or flatter (enter ratio of horizontal to vertical, for example, 3 for 3H:1V)</t>
  </si>
  <si>
    <t>Vegetated Swales Calculator - by Water Quality Volume</t>
  </si>
  <si>
    <t xml:space="preserve">The depth above the bioretention surface where runoff is ponded temporarily before filtering through the media. </t>
  </si>
  <si>
    <t>The depth of the engineered bioretention soil.</t>
  </si>
  <si>
    <t>The layer above the native soil subgrade that distributes loads and stores the runoff.  It is also called the subbase or reservoir layer and consists of AASHTO No. 3 stone (i.e., 0.5 to 2.5" diameter crushed aggregate).</t>
  </si>
  <si>
    <t>PERMEABLE PAVEMENT CALCULATOR</t>
  </si>
  <si>
    <t>% (2% recommended, use check dams to keep slope less than 5%)</t>
  </si>
  <si>
    <t>f</t>
  </si>
  <si>
    <t>t</t>
  </si>
  <si>
    <t xml:space="preserve">Required Residence Time </t>
  </si>
  <si>
    <t>feet (between 2 to 10 feet)</t>
  </si>
  <si>
    <t xml:space="preserve">Enter the proposed base width of your swale. The sizer assumes the swale is trapezoidal.  Base width should be between 2 to 10 feet. </t>
  </si>
  <si>
    <t>feet (recommend 0.5 to 1 ft, depth should be equal to check dam height)</t>
  </si>
  <si>
    <t>Ponding Depth above Swale - Pd</t>
  </si>
  <si>
    <t>Swale Length</t>
  </si>
  <si>
    <t>Treated Volume - Infiltration Trench</t>
  </si>
  <si>
    <t>Treated Volume - Dry Well</t>
  </si>
  <si>
    <t>For underdrained systems, specify the desired drain time. For the full benefit of pollutant reduction through detention, 48 hours is recommended.</t>
  </si>
  <si>
    <t xml:space="preserve">Enter the max ponding depth above the filter.  This is typically 6 to 18 inches.  At least 2" of freeboard should be provided between the max ponding depth and the overflow elevation.  </t>
  </si>
  <si>
    <t>The minimum filter area required to drain the WQv within the desired drain time is calculated here.</t>
  </si>
  <si>
    <t xml:space="preserve">The amount of the WQv stored in the filter chamber is calculated.  The remaining WQv must be stored in the sedimentation chamber. </t>
  </si>
  <si>
    <t>Depth of Engineered Soil (d)</t>
  </si>
  <si>
    <t>Hydraulic Conductivity (k)</t>
  </si>
  <si>
    <t>The need for underdrains is determined here based on entries in Steps 2 and 3.</t>
  </si>
  <si>
    <t>hours (recommend 24 to 48)</t>
  </si>
  <si>
    <t>Desired Drawdown Time - t</t>
  </si>
  <si>
    <t xml:space="preserve">The time for the storage area to drain the water quality volume. </t>
  </si>
  <si>
    <r>
      <t>hours (if less than desired drawdown time</t>
    </r>
    <r>
      <rPr>
        <sz val="10"/>
        <rFont val="Arial"/>
        <family val="2"/>
      </rPr>
      <t>, install outlet control)</t>
    </r>
  </si>
  <si>
    <t>gpm (discharge rate through underdrain system)</t>
  </si>
  <si>
    <t xml:space="preserve">Depth of Water Stored in Filter </t>
  </si>
  <si>
    <t>hours (generally 12 to 48)</t>
  </si>
  <si>
    <t>Sizing Ratio (Bioretention Area/Drainage Area)</t>
  </si>
  <si>
    <t>Underdrains Required?</t>
  </si>
  <si>
    <t xml:space="preserve">The length and width of the vault are calculated. </t>
  </si>
  <si>
    <t>feet (typically 0.5 to 2 ft)</t>
  </si>
  <si>
    <t>Hydraulic Conductivity of Filter Media - k</t>
  </si>
  <si>
    <t>Porosity of Filter Media - n</t>
  </si>
  <si>
    <t>Required Storage Volume in Sed Chamber</t>
  </si>
  <si>
    <r>
      <t>hours (if greater than 48</t>
    </r>
    <r>
      <rPr>
        <sz val="10"/>
        <rFont val="Arial"/>
        <family val="2"/>
      </rPr>
      <t xml:space="preserve"> hours, install underdrains)</t>
    </r>
  </si>
  <si>
    <r>
      <t>ft</t>
    </r>
    <r>
      <rPr>
        <vertAlign val="superscript"/>
        <sz val="10"/>
        <rFont val="Arial"/>
        <family val="2"/>
      </rPr>
      <t>2</t>
    </r>
  </si>
  <si>
    <t xml:space="preserve">Drainage Management Area </t>
  </si>
  <si>
    <t>Storage Layer</t>
  </si>
  <si>
    <t>Porosity of Storage Media - n</t>
  </si>
  <si>
    <t>Depth of Bedding Layer</t>
  </si>
  <si>
    <t>Underdrains Required</t>
  </si>
  <si>
    <t>ft</t>
  </si>
  <si>
    <t>Minimum PP Area</t>
  </si>
  <si>
    <t xml:space="preserve">The swale length needed to provide the required residence time is calculated here.  </t>
  </si>
  <si>
    <t>Offline or Online</t>
  </si>
  <si>
    <t xml:space="preserve">Net Available </t>
  </si>
  <si>
    <t xml:space="preserve">Runoff Available </t>
  </si>
  <si>
    <t>Irrigation</t>
  </si>
  <si>
    <t>Indoor</t>
  </si>
  <si>
    <t>Volume (gal)</t>
  </si>
  <si>
    <t>(gal/month)</t>
  </si>
  <si>
    <t>Desired Percent Capture</t>
  </si>
  <si>
    <t>October</t>
  </si>
  <si>
    <t>November</t>
  </si>
  <si>
    <t>December</t>
  </si>
  <si>
    <t>Totals</t>
  </si>
  <si>
    <t>No. of Residential Units</t>
  </si>
  <si>
    <t>Length to Width Ratio</t>
  </si>
  <si>
    <t>Water Quality Flow Rate (WQf)</t>
  </si>
  <si>
    <t xml:space="preserve">The time for the storage area to drain the water quality volume. </t>
  </si>
  <si>
    <t xml:space="preserve">The vertical distance between the maximum design water depth and the top of the basin embankments. </t>
  </si>
  <si>
    <t xml:space="preserve">The required volume for the forebay is shown here (typically 10 to 25% of the WQv). </t>
  </si>
  <si>
    <t>Dimensions Calculator</t>
  </si>
  <si>
    <t>Live Storage Volume Depth</t>
  </si>
  <si>
    <t>Total Depth at WQv - d</t>
  </si>
  <si>
    <t>feet</t>
  </si>
  <si>
    <r>
      <t xml:space="preserve">California Department of Water Resources (DWR). 2005. </t>
    </r>
    <r>
      <rPr>
        <i/>
        <sz val="10"/>
        <rFont val="Arial"/>
        <family val="2"/>
      </rPr>
      <t>CIMIS Reference Evapotranspiration Zones</t>
    </r>
    <r>
      <rPr>
        <sz val="10"/>
        <rFont val="Arial"/>
        <family val="2"/>
      </rPr>
      <t>. http://wwwcimis.water.ca.gov/cimis/pdf/CimisRefEvapZones.pdf</t>
    </r>
  </si>
  <si>
    <t>Use either steps 1 through 12 to determine the required area of bioretention. Or use steps 13 through 24 to check what volume of water is treated given the available area for bioretention.</t>
  </si>
  <si>
    <t>Infiltration Rate of In Situ Soils - f</t>
  </si>
  <si>
    <t>Safety Factor</t>
  </si>
  <si>
    <t>hours (generally 2)</t>
  </si>
  <si>
    <t>Time Needed to Infiltrate WQV (no underdrain)</t>
  </si>
  <si>
    <t>Bioretention Calculator - by Water Quality Volume</t>
  </si>
  <si>
    <t>Bioretention Calculator - by Available Area</t>
  </si>
  <si>
    <t>Enter the available area for the bioretention system here.</t>
  </si>
  <si>
    <t>Time Needed to Drain WQv</t>
  </si>
  <si>
    <t>gpm (use orifice or other means to control discharge rate)</t>
  </si>
  <si>
    <t>hours (0-2 hours, recommend 1)</t>
  </si>
  <si>
    <t xml:space="preserve">Select Yes or No for whether the site meets all the infiltration constraints listed in the SDG. These include setbacks from buildings, depth to groundwater, site slope, etc.  </t>
  </si>
  <si>
    <t>The need for underdrains is determined based on entries in Steps 2 and 3.</t>
  </si>
  <si>
    <t>feet/feet (ratio of horizontal to vertical, for example, 3 for 3H:1V)</t>
  </si>
  <si>
    <t>Width of Basin Bottom</t>
  </si>
  <si>
    <t>Length of Basin Bottom</t>
  </si>
  <si>
    <t>feet</t>
  </si>
  <si>
    <t>Safety Factor</t>
  </si>
  <si>
    <t>recommend 2</t>
  </si>
  <si>
    <r>
      <t xml:space="preserve">in/hr (recommend design value of </t>
    </r>
    <r>
      <rPr>
        <sz val="10"/>
        <color indexed="8"/>
        <rFont val="Arial"/>
        <family val="2"/>
      </rPr>
      <t>2</t>
    </r>
    <r>
      <rPr>
        <sz val="10"/>
        <rFont val="Arial"/>
        <family val="2"/>
      </rPr>
      <t xml:space="preserve"> for sand, 1 if no pretreatment)</t>
    </r>
  </si>
  <si>
    <t>cubic feet (must be greater than WQv)</t>
  </si>
  <si>
    <t>Storage Volume</t>
  </si>
  <si>
    <t>Infiltration Rate (f)</t>
  </si>
  <si>
    <t>Enter the design width of your trench.</t>
  </si>
  <si>
    <t>Enter the available area to install the vault (base area).</t>
  </si>
  <si>
    <t>Step 11</t>
  </si>
  <si>
    <t>Step 12</t>
  </si>
  <si>
    <t>Step 13</t>
  </si>
  <si>
    <t xml:space="preserve">The time taken for water quality storm to fill the bioretention system. </t>
  </si>
  <si>
    <t>To Determine the Volume of Water Treated by Available Area</t>
  </si>
  <si>
    <t>DETENTION VAULT CALCULATOR</t>
  </si>
  <si>
    <t>The longitudinal length of the vault</t>
  </si>
  <si>
    <t>The width of the vault</t>
  </si>
  <si>
    <t>Available Base Area</t>
  </si>
  <si>
    <t>Use either steps 1 through 6 to determine the required dimensions of the vault. Or use steps 7 through 9 to check what volume of water is treated given the available area for a vault.</t>
  </si>
  <si>
    <t xml:space="preserve">A safety factor of two will be applied in the calculations to account for the decrease in infiltration rate over time due to accumulation of solids in the trench. </t>
  </si>
  <si>
    <t xml:space="preserve">Volume of void space to total volume.  This is expressed as a ratio, e.g. 0.35 means that one cubic foot of gravel contains 0.35 cubic feet of empty space.  </t>
  </si>
  <si>
    <t>recommend 2</t>
  </si>
  <si>
    <t>inches (as needed to store the WQv, minimum of 6")</t>
  </si>
  <si>
    <t>Minimum Depth of Storage Layer</t>
  </si>
  <si>
    <t>recommend 2 to account for decline over time and uncertainty in measurement</t>
  </si>
  <si>
    <t>select pavement type</t>
  </si>
  <si>
    <t>Depth Needed to Store WQv</t>
  </si>
  <si>
    <t xml:space="preserve">Enter any additional non-potable demand, such as cooling water, industrial use, etc. </t>
  </si>
  <si>
    <t xml:space="preserve">Daily Reuse Demand </t>
  </si>
  <si>
    <t xml:space="preserve">gal/day </t>
  </si>
  <si>
    <t>Monthly Reuse Demand</t>
  </si>
  <si>
    <t>gal/month</t>
  </si>
  <si>
    <t>The overall width of the swale, including base and side slopes - calculated from a depth equal to the water quality depth plus freeboard.</t>
  </si>
  <si>
    <t xml:space="preserve">The length of the swale needed to capture the WQv. </t>
  </si>
  <si>
    <t xml:space="preserve">The depth above the swale surface where runoff is ponded temporarily before filtering through the media. </t>
  </si>
  <si>
    <t>The length of the swale needed to provide sufficient residence time for water treatment.</t>
  </si>
  <si>
    <t>Surface Area needed for Forebay</t>
  </si>
  <si>
    <t>Surface Area needed for VRF</t>
  </si>
  <si>
    <t>hours (drains Pd and portion of planting soil storing WQv)</t>
  </si>
  <si>
    <t xml:space="preserve">The default value for fill time for swales is 2 hours. </t>
  </si>
  <si>
    <t xml:space="preserve">The diameter of the orifice needed to drain the WQv in 48 hours is shown here. This planning level estimate of the required outlet control should be revised during design. The pond outlet must be designed such that less than 50% of the WQv is emptied during the first third of the design drain time (i.e., within 16 hours for a 48 hour design drain time). Minimum allowable orifice diameter is 1-inch. </t>
  </si>
  <si>
    <t xml:space="preserve">The layer that the permeable pavement is laid on, also called choker or setting layer.  Consists of AASHTO No. 8 stone.  (Note: Bedding layers are typically No. 57 stone for asphalt and concrete; however, the size has been reduced in this application to improve filtering performance of the system). </t>
  </si>
  <si>
    <t>Vegetated Swales Calculator - by Water Quality Flow Rate</t>
  </si>
  <si>
    <t>Water Quality Flow Rate (WQf)</t>
  </si>
  <si>
    <t>Media Filter Calculator - by Water Quality Flow Rate</t>
  </si>
  <si>
    <t>Basin Length to Width Ratio (L/W)</t>
  </si>
  <si>
    <t xml:space="preserve">Basin Side Slope </t>
  </si>
  <si>
    <t>Width of Basin Bottom</t>
  </si>
  <si>
    <t>Length of Basin Bottom</t>
  </si>
  <si>
    <t>Width of Basin at Permanent Pool Depth</t>
  </si>
  <si>
    <t>Length of Basin at Permanent Pool Depth</t>
  </si>
  <si>
    <t>Width of Basin at WQv Depth</t>
  </si>
  <si>
    <t>Length of Basin at WQv Depth</t>
  </si>
  <si>
    <t xml:space="preserve">The length of the basin bottom is calculated here. </t>
  </si>
  <si>
    <t xml:space="preserve">The width and length of the pond at the design water depth (i.e., WQv depth) are calculated here. </t>
  </si>
  <si>
    <t xml:space="preserve">Use the following steps of the Dimensions Calculator to determine the basin configuration.  </t>
  </si>
  <si>
    <t xml:space="preserve">Enter the live storage depth (i.e., the water depth above the permanent pool used to captured the WQv event). Depths are typically 1 to 2 feet for wetlands and 1 to 3 feet for wet ponds. This depth DOES NOT include freeboard, which is typically 1 foot above the maximum design depth (freeboard should be added in actual design). </t>
  </si>
  <si>
    <t>The length of the swale need to capture the WQv is calculated here.</t>
  </si>
  <si>
    <t>Top Width of Swale</t>
  </si>
  <si>
    <t>Freeboard Above WQ Depth</t>
  </si>
  <si>
    <t xml:space="preserve">Swale Capacity </t>
  </si>
  <si>
    <t xml:space="preserve">This is the maximum flow rate that can be conveyed by the swale. </t>
  </si>
  <si>
    <t>Equals the maximum design conveyance depth plus the freeboard</t>
  </si>
  <si>
    <t xml:space="preserve">The overall width of the swale, including base and side slopes, calculated at the total swale depth. </t>
  </si>
  <si>
    <r>
      <t>feet (should be less than</t>
    </r>
    <r>
      <rPr>
        <sz val="10"/>
        <rFont val="Arial"/>
        <family val="2"/>
      </rPr>
      <t xml:space="preserve"> 25 feet)</t>
    </r>
  </si>
  <si>
    <t>inches/hour (generally require f ≥ 0.5"/hr)</t>
  </si>
  <si>
    <t>Link to Guide</t>
  </si>
  <si>
    <t>feet (should be less than 25 feet)</t>
  </si>
  <si>
    <t>Volume (gal/mo)</t>
  </si>
  <si>
    <t>Enter the Water Quality Flow Rate (WQf) for the drainage management area. The WQf is calculated in Step 13 of the Water Quality Volume and Water Quality Flow Rate Calculator.</t>
  </si>
  <si>
    <t>The runoff volume to be managed by the stormwater BMP such that treatment requirements are met. The WQv is calculated by the Water Quality Volume and Water Quality Flow Rate Calculator.</t>
  </si>
  <si>
    <t xml:space="preserve">The default value for fill time is 2 hours. The default drain time is 48 hours. These values should not be changed unless explanation is provided by user.  </t>
  </si>
  <si>
    <t>Water Quality Flow Equation:</t>
  </si>
  <si>
    <r>
      <rPr>
        <i/>
        <sz val="10"/>
        <rFont val="Arial"/>
        <family val="2"/>
      </rPr>
      <t>WQf</t>
    </r>
    <r>
      <rPr>
        <sz val="10"/>
        <rFont val="Arial"/>
        <family val="2"/>
      </rPr>
      <t xml:space="preserve"> = water quality flow (cubic feet per second)</t>
    </r>
  </si>
  <si>
    <r>
      <rPr>
        <i/>
        <sz val="10"/>
        <rFont val="Arial"/>
        <family val="2"/>
      </rPr>
      <t>WQv</t>
    </r>
    <r>
      <rPr>
        <sz val="10"/>
        <rFont val="Arial"/>
        <family val="2"/>
      </rPr>
      <t xml:space="preserve"> = water quality volume (cubic feet)</t>
    </r>
  </si>
  <si>
    <t>The layer located beneath the bedding layer which serves as a transition to the storage layer.  It is also known as the base layer, is typically 3 to 4" deep, and consists of AASHTO No. 57 stone.</t>
  </si>
  <si>
    <t>hours</t>
  </si>
  <si>
    <t>Time Needed to Infiltrate WQv (no underdrain)</t>
  </si>
  <si>
    <t>Hide</t>
  </si>
  <si>
    <t xml:space="preserve">For non-underdrained systems, the time needed to infiltrate the WQv is calculated here.  If the drain time is greater than 48 hrs, underdrains should be installed. </t>
  </si>
  <si>
    <t>Time to Drain WQv Storage Area</t>
  </si>
  <si>
    <t>hours (drains ponding depth and portion of planting soil storing WQv)</t>
  </si>
  <si>
    <t>Time to Drain WQv Storage Area</t>
  </si>
  <si>
    <t xml:space="preserve">The length of the basin bottom is calculated based on the base area and width. </t>
  </si>
  <si>
    <t>feet (generally between 1 and 3 feet, recommend 2 feet)</t>
  </si>
  <si>
    <t>Check of Volume</t>
  </si>
  <si>
    <t>feet</t>
  </si>
  <si>
    <t>Orifice</t>
  </si>
  <si>
    <t>Orifice Area</t>
  </si>
  <si>
    <t>Water Quality Volume - WQv</t>
  </si>
  <si>
    <t>Drain Time (t)</t>
  </si>
  <si>
    <t>Max Drain Time - t</t>
  </si>
  <si>
    <t>Max Drain Time - t</t>
  </si>
  <si>
    <t xml:space="preserve">Port of San Francisco jurisdiction: 48 hour, 80% capture. Enter "1" in Step 12. </t>
  </si>
  <si>
    <t>Use the "other" column for impervious land surfaces not described. Enter the square footage of the "other surface" in the table.  Below, in the Impervious Runoff Coefficients Table, enter a runoff coefficient, C, for the "other" impervious surface.</t>
  </si>
  <si>
    <t xml:space="preserve">Enter the lesser value of the depth to groundwater and depth to bedrock at the site. The bottom of the trench should be at least 4' from bedrock and the high groundwater table.  </t>
  </si>
  <si>
    <t>Water Quality Volume - WQv</t>
  </si>
  <si>
    <t>Water Quality Flow Rate - WQf</t>
  </si>
  <si>
    <t xml:space="preserve">The width and length of the basin at the permanent pool depth and at the design water depth (i.e., WQv depth) are calculated here. </t>
  </si>
  <si>
    <t>The basin's permanent pool volume and the live storage volume are calculated here. Adjust the basin width and/or depth until the volumes are greater than or equal to the permanent pool volume and WQv calculated in Steps 4 and 5.</t>
  </si>
  <si>
    <t xml:space="preserve">The length of the pond bottom is calculated here. </t>
  </si>
  <si>
    <t>Ave. Discharge Rate for Desired Drain Time</t>
  </si>
  <si>
    <t>Calculated WQv Drain Time - t</t>
  </si>
  <si>
    <t>square feet</t>
  </si>
  <si>
    <t>Approx. Orifice Diameter for Drain Time</t>
  </si>
  <si>
    <t xml:space="preserve">The rate of water entry into the soil, generally expressed as inches/hour, and determined by geotechnical tests or estimated from soil maps. It equals the hydraulic conductivity of the soil times the hydraulic gradient. </t>
  </si>
  <si>
    <t>Infiltration rate - f</t>
  </si>
  <si>
    <t>inches/hour (generally require f&gt;0.5"/hr)</t>
  </si>
  <si>
    <t>Max drawdown time - t</t>
  </si>
  <si>
    <t>hrs (recommend 48 hrs)</t>
  </si>
  <si>
    <t>Composite runoff coefficients for each DMA are calculated and displayed here.</t>
  </si>
  <si>
    <t>INSTRUCTIONS</t>
  </si>
  <si>
    <r>
      <t xml:space="preserve">Part II - Calculate Indoor Non-Potable Demand - </t>
    </r>
    <r>
      <rPr>
        <i/>
        <u val="single"/>
        <sz val="10"/>
        <rFont val="Arial"/>
        <family val="2"/>
      </rPr>
      <t>Water use estimate approach is based on the LEED-NC reference manual (USGBC 2007) and SFPUC (2004) demand estimates</t>
    </r>
  </si>
  <si>
    <t xml:space="preserve"> &lt;0.1 for very low, 0.1-0.3 for low, 0.4-0.6 for medium, 0.7-0.9 for high.  See Pages 62-99 of Guide (DWR 2000).</t>
  </si>
  <si>
    <t>Use for schools, museums, libraries, etc.</t>
  </si>
  <si>
    <t xml:space="preserve"> Select Western if located in the Richmond, Sunset, or Lake Merced areas of San Francisco.</t>
  </si>
  <si>
    <t>Enter cistern size, adjust volume until desired percent capture is met (typically 80%) or until 100% of non-potable demand is met.</t>
  </si>
  <si>
    <t>If percent capture is less than 80%, additional BMPs will be needed to meet treatment requirements.</t>
  </si>
  <si>
    <t>Link to SDG</t>
  </si>
  <si>
    <t xml:space="preserve">Enter the crop coefficient for your site.  Cool season grasses= 0.8, warm season=0.6.  Please see the linked CIMIS publication if more information is needed. </t>
  </si>
  <si>
    <r>
      <t xml:space="preserve">Enter density factor based on plant coverage.  Full coverage of one vegetation type is considered average. Please see p. 18 of </t>
    </r>
    <r>
      <rPr>
        <i/>
        <sz val="10"/>
        <rFont val="Arial"/>
        <family val="2"/>
      </rPr>
      <t>Guide</t>
    </r>
    <r>
      <rPr>
        <sz val="10"/>
        <rFont val="Arial"/>
        <family val="2"/>
      </rPr>
      <t xml:space="preserve"> for more info. </t>
    </r>
  </si>
  <si>
    <r>
      <t xml:space="preserve">Enter microclimate factor based on site's exposure to sun and wind. Open-field without extraordinary winds or heat inputs is considered average (e.g., a park). See p. 19 of </t>
    </r>
    <r>
      <rPr>
        <i/>
        <sz val="10"/>
        <rFont val="Arial"/>
        <family val="2"/>
      </rPr>
      <t xml:space="preserve">Guide </t>
    </r>
    <r>
      <rPr>
        <sz val="10"/>
        <rFont val="Arial"/>
        <family val="2"/>
      </rPr>
      <t>for more info.</t>
    </r>
  </si>
  <si>
    <t>Enter irrigation efficiency.  Generally ranges from 0.7 to 0.95, with subsurface drip being the most efficient and spray irrigation the least efficient. Current San Francisco regulations require that harvested rainwater be treated prior to use in spray irrigation.</t>
  </si>
  <si>
    <t>The ratio of the bioretention area to the DMA is calculated here as a check of the sizing.  The percentage is typically between 4% to 7%.</t>
  </si>
  <si>
    <t xml:space="preserve">For sloped systems, use the volume-based Swale calculator. </t>
  </si>
  <si>
    <t>Enter the side slope of the swale. The side slope should be no steeper than 3:1 (i.e., at least 3 feet horizontal for each 1 foot vertical).</t>
  </si>
  <si>
    <t>Infiltration Rate Factor of Safety</t>
  </si>
  <si>
    <t>Depth of Water Percolated into Filter</t>
  </si>
  <si>
    <t>Estimated Drainage Area</t>
  </si>
  <si>
    <t>BMP Area/Drainage Area</t>
  </si>
  <si>
    <t>sf</t>
  </si>
  <si>
    <t>The depth of water storage in the vault.  Does not include freeboard or depth of permanent pool.</t>
  </si>
  <si>
    <t>feet (typically between 3 and 7 ft)</t>
  </si>
  <si>
    <t>Enter the proposed live storage depth of the vault. This is typically between 3 to 7 feet not including freeboard. This depth also does not include the depth of the permanent wet pool. It is recommended that the wet pool depth be greater than 3 feet.</t>
  </si>
  <si>
    <t>in/hr (recommend 4)</t>
  </si>
  <si>
    <t>The depth of the filter media.</t>
  </si>
  <si>
    <t>cubic feet per second (cfs)</t>
  </si>
  <si>
    <t>feet (minimum length is 100 feet)</t>
  </si>
  <si>
    <t>cubic feet per second</t>
  </si>
  <si>
    <t>feet, recommend 0.5 ft for online, 0.25 ft for offline</t>
  </si>
  <si>
    <t>feet (horizontal length of swale)</t>
  </si>
  <si>
    <t xml:space="preserve">The total swale area is calculated here. This includes the bottom and side slope area of the swale. </t>
  </si>
  <si>
    <t>in/hr (enter 0 if system lined)</t>
  </si>
  <si>
    <t xml:space="preserve">Enter the freeboard above the water quality depth. A freeboard of at least 2" is recommended. </t>
  </si>
  <si>
    <t>The overall top width of the swale is calculated here for site layout purposes.</t>
  </si>
  <si>
    <t xml:space="preserve">The swale area is calculated so that the site area demand can be assessed. The area is based on the water quality depth plus freeboard. </t>
  </si>
  <si>
    <t xml:space="preserve">The Manning's roughness coefficient for the swale. Note: at depths less than the vegetation height (e.g., at the WQf depth), the Manning's n is significantly greater than at flooding depths. </t>
  </si>
  <si>
    <t xml:space="preserve">Select whether the swale is designed as an online or offline BMP.  The system is "online" if flows greater than the WQf are also directed to the swale. For "offline" swale systems, only flows less than or equal to the WQf are directed to the swale. </t>
  </si>
  <si>
    <t>Select yes if f &lt; 0.5 or other infiltration constraints apply</t>
  </si>
  <si>
    <t>in/hr (use underdrains if f &lt; 0.5 in/hr)</t>
  </si>
  <si>
    <t>includes area of side slopes, typically 10 - 15%</t>
  </si>
  <si>
    <t xml:space="preserve">min (use 18 min for continuous inflow swale) </t>
  </si>
  <si>
    <t>The required area to treat the WQv is determined here.</t>
  </si>
  <si>
    <t xml:space="preserve">The default porosity of the media and the fill time have been entered.  Adjusting these values is not recommended. </t>
  </si>
  <si>
    <t>VEGETATED SWALE CALCULATOR (flow-based)</t>
  </si>
  <si>
    <t>VEGETATED SWALE CALCULATOR (volume-based)</t>
  </si>
  <si>
    <r>
      <t xml:space="preserve">Permeable Pavement </t>
    </r>
    <r>
      <rPr>
        <vertAlign val="superscript"/>
        <sz val="10"/>
        <rFont val="Arial"/>
        <family val="2"/>
      </rPr>
      <t>a</t>
    </r>
  </si>
  <si>
    <r>
      <t xml:space="preserve">Vegetated Roof </t>
    </r>
    <r>
      <rPr>
        <vertAlign val="superscript"/>
        <sz val="10"/>
        <rFont val="Arial"/>
        <family val="2"/>
      </rPr>
      <t>b</t>
    </r>
  </si>
  <si>
    <t xml:space="preserve">Identify any existing permeable pavement or vegetated roofs on your site that are designed according to SDG requirements and do not receive runoff from adjacent surfaces. Enter their areas. See "Notes" section (a and b) at bottom of worksheet for additional description of permeable pavement and vegetated roofs. </t>
  </si>
  <si>
    <r>
      <t xml:space="preserve">Gravel </t>
    </r>
    <r>
      <rPr>
        <vertAlign val="superscript"/>
        <sz val="10"/>
        <rFont val="Arial"/>
        <family val="2"/>
      </rPr>
      <t>c</t>
    </r>
  </si>
  <si>
    <t xml:space="preserve">Identify additional pervious land surfaces for each DMA and enter their areas. See "Notes" section (c) at bottom of worksheet for a description of whether to categorize gravel as permeable pavement or pervious area. </t>
  </si>
  <si>
    <t>Step</t>
  </si>
  <si>
    <t>Bioretention</t>
  </si>
  <si>
    <t>These calculators size an infiltration trench or drywell to treat the Water Quality Volume (WQv), or calculate the volume of water treated given user entered available dimensions.</t>
  </si>
  <si>
    <t>To Determine The Required Area for Bioretention Facility</t>
  </si>
  <si>
    <r>
      <t xml:space="preserve">square feet </t>
    </r>
    <r>
      <rPr>
        <sz val="10"/>
        <rFont val="Arial"/>
        <family val="2"/>
      </rPr>
      <t>(include the area planned for permeable pavement)</t>
    </r>
  </si>
  <si>
    <t xml:space="preserve">square feet  </t>
  </si>
  <si>
    <t>required if f ≤ 0.5 inches/hour</t>
  </si>
  <si>
    <r>
      <t xml:space="preserve">cubic feet </t>
    </r>
    <r>
      <rPr>
        <vertAlign val="superscript"/>
        <sz val="10"/>
        <rFont val="Arial"/>
        <family val="2"/>
      </rPr>
      <t xml:space="preserve"> </t>
    </r>
    <r>
      <rPr>
        <sz val="10"/>
        <rFont val="Arial"/>
        <family val="2"/>
      </rPr>
      <t>(Sedimentation chamber must store remaining WQv)</t>
    </r>
  </si>
  <si>
    <t>WQv = C x A x d/12</t>
  </si>
  <si>
    <t>0.2 - 0.3 for water quality depth, recommend 0.25</t>
  </si>
  <si>
    <t>Velocity at WQf</t>
  </si>
  <si>
    <t>inches (increase swale width if depth greater than 4")</t>
  </si>
  <si>
    <t xml:space="preserve">ft/sec (decrease slope if velocity greater than 1 ft/s)  </t>
  </si>
  <si>
    <t>Total Swale Depth</t>
  </si>
  <si>
    <t>Area at Max Depth</t>
  </si>
  <si>
    <t xml:space="preserve">Wetted Perimeter at Max Depth </t>
  </si>
  <si>
    <t>Manning's n for High Flow</t>
  </si>
  <si>
    <t>Manning's n for Low Flow</t>
  </si>
  <si>
    <t>Top Swale Width</t>
  </si>
  <si>
    <t xml:space="preserve">The top width of the swale is calculated here. </t>
  </si>
  <si>
    <t>Permeable Pavement Calculator - by Water Quality Volume</t>
  </si>
  <si>
    <t>inches/hour (generally require f ≥0.5"/hr)</t>
  </si>
  <si>
    <t xml:space="preserve">feet  </t>
  </si>
  <si>
    <t xml:space="preserve">Enter the width of the VRF. </t>
  </si>
  <si>
    <t xml:space="preserve">The required length of the VRF is calculated here. </t>
  </si>
  <si>
    <t xml:space="preserve">The length to width ratio of the VRF is calculated here. </t>
  </si>
  <si>
    <t xml:space="preserve">Enter the design hydraulic conductivity of the gravel.  A default value of 2000 ft/day is recommended. </t>
  </si>
  <si>
    <t>feet, typically 0.5 to 2 feet</t>
  </si>
  <si>
    <t>Total WQv Storage Depth in VRF</t>
  </si>
  <si>
    <t>feet, sum of the ponding depth and the depth of gravel above permanent pool</t>
  </si>
  <si>
    <t>Velocity through Filter</t>
  </si>
  <si>
    <t>Use either steps 1 through 8 to determine the required size of your trench. Or use steps 9 through 15 to check what volume of water is treated given the available dimensions of your trench.</t>
  </si>
  <si>
    <t>The depth of the VRF from the surface of the gravel to the base of the filter.</t>
  </si>
  <si>
    <t>The longitudinal length of the VRF.</t>
  </si>
  <si>
    <t>The width of the VRF.</t>
  </si>
  <si>
    <t xml:space="preserve">Enter the length to width ratio of the basin.  A ratio between 2 and 4 is recommended. </t>
  </si>
  <si>
    <t>To Determine the Required Dimensions for Flow-based VRFs (i.e., those sized to convey the WQf).</t>
  </si>
  <si>
    <t>The depth of the basin from the top of the live storage volume to the invert of the basin. Does not include freeboard.</t>
  </si>
  <si>
    <t xml:space="preserve">Depth from the top of the permanent pool to the top of the live storage area. </t>
  </si>
  <si>
    <t xml:space="preserve">The step calculates the estimated flow rate through the orifice when the water level is at the WQv depth. </t>
  </si>
  <si>
    <t>Permanent pool volume calculator</t>
  </si>
  <si>
    <t>The volume of water that is permanently in the wet pond/wetland.</t>
  </si>
  <si>
    <t>This calculator sizes a vegetated swales or sloped bioretention systems designed to treat the Water Quality Volume (WQv).</t>
  </si>
  <si>
    <t>These calculators size a detention vault to treat the Water Quality Volume (WQv), or calculate the volume of water treated given user entered available dimensions.</t>
  </si>
  <si>
    <t>This calculator sizes an infiltration basin to treat the Water Quality Volume (WQv).</t>
  </si>
  <si>
    <t>This calculator sizes volumetrically a detention pond such that it treats the Water Quality Volume (WQv).</t>
  </si>
  <si>
    <t>Area Calculator</t>
  </si>
  <si>
    <t>Width of Trench</t>
  </si>
  <si>
    <t>Dimension Calculator</t>
  </si>
  <si>
    <t>Width</t>
  </si>
  <si>
    <t>Length</t>
  </si>
  <si>
    <t>feet</t>
  </si>
  <si>
    <t>Depth</t>
  </si>
  <si>
    <t>feet (generally 0.5 to 1)</t>
  </si>
  <si>
    <t>The design depth of flow in the swale. Note for maximum effectiveness swales should flow with no deeper than 2/3 the height of grass in the swale, or, generally, at a flow depth of 4".</t>
  </si>
  <si>
    <t>Residence Time</t>
  </si>
  <si>
    <t>Drainage Management Areas</t>
  </si>
  <si>
    <t>Number of DMAs Check</t>
  </si>
  <si>
    <t># of DMAs</t>
  </si>
  <si>
    <t>Drainage Management Area</t>
  </si>
  <si>
    <t>Drainage Management Area (square feet)</t>
  </si>
  <si>
    <t>a</t>
  </si>
  <si>
    <t>b</t>
  </si>
  <si>
    <t>c</t>
  </si>
  <si>
    <t>Manning's Equation - Trapezoidal Channel : V = (R^0.67)*(S^0.5)/n</t>
  </si>
  <si>
    <t>WQF: Manning's 0.02 &lt; "n" &lt; 0.04</t>
  </si>
  <si>
    <t>b (ft)</t>
  </si>
  <si>
    <t>z (side slope)</t>
  </si>
  <si>
    <t>S (ft / ft)</t>
  </si>
  <si>
    <t>Q = WQF</t>
  </si>
  <si>
    <t>y = Depth</t>
  </si>
  <si>
    <t>P</t>
  </si>
  <si>
    <t>R</t>
  </si>
  <si>
    <t>(ft^3 / sec)</t>
  </si>
  <si>
    <t>(ft)</t>
  </si>
  <si>
    <t>(ft/s)</t>
  </si>
  <si>
    <t>(ft2)</t>
  </si>
  <si>
    <t>Enter the proposed live storage depth of the vault. Generally 5 feet not including freeboard.</t>
  </si>
  <si>
    <t xml:space="preserve">feet </t>
  </si>
  <si>
    <t>INSTRUCTIONS</t>
  </si>
  <si>
    <t>DEFINITIONS</t>
  </si>
  <si>
    <t>Base Area Calculator</t>
  </si>
  <si>
    <t>CALCULATOR</t>
  </si>
  <si>
    <t>1.</t>
  </si>
  <si>
    <t>2.</t>
  </si>
  <si>
    <t xml:space="preserve">Enter the depth of ponding above the filter bed. A highly impermeable wetland soil layer should be provided at the surface of the VRF to prevent short-circuiting of the ponded runoff.  A perforated riser is used to convey the ponded water through the impermeable soil layer to the underlying rock filter media. </t>
  </si>
  <si>
    <t>Enter the depth of the gravel above the permanent pool level. This is the portion of the gravel that drains (i.e., the gravel depth above the outlet weir or standpipe).</t>
  </si>
  <si>
    <t>Enter the width of the contributing DMA, where width is measured in the direction of runoff from the DMA. The vegetated buffer strip (VBS) is located parallel to the DMA and should extend the full length of the DMA. For instance, for a crowned roadway, the DMA width would be the distance from the centerline of the road to the edge of pavement where the VBS begins.</t>
  </si>
  <si>
    <t>This calculator sizes the components of a wet pond or wetland such that it treats the Water Quality Volume (WQv).</t>
  </si>
  <si>
    <t xml:space="preserve">Enter the max ponding depth above the filter.  This is typically 6 to 12 inches.  It is recommended that the max ponding depth be at least 2" below the bioretention overflow elevation.  </t>
  </si>
  <si>
    <t xml:space="preserve">Enter whether underdrains are required at the site. Select "Yes" if underdrains are required due to low infiltration rates or other subsurface constraints, such as depth to groundwater or bedrock. </t>
  </si>
  <si>
    <t xml:space="preserve">ft/sec </t>
  </si>
  <si>
    <t>The volume of water treated by the bioretention system is shown here. If this volume is less than the required WQv then additional treatments will likely be required.</t>
  </si>
  <si>
    <t>PP Area as % of Total Drainage Area</t>
  </si>
  <si>
    <t>recommend 0.35 for coarse aggregate</t>
  </si>
  <si>
    <t xml:space="preserve">Enter the square footage of the DMA draining to the Permeable Pavement (PP). The DMA includes the area planned for PP.  Only impervious surfaces should drain to PP. </t>
  </si>
  <si>
    <t>Enter the depth of the live storage volume in the sedimentation chamber. This is typically 1 to 3 feet.</t>
  </si>
  <si>
    <t xml:space="preserve">The required sedimentation chamber area needed to store the remainder of the WQv is calculated here. </t>
  </si>
  <si>
    <t>Media Filter Calculator - by Water Quality Volume</t>
  </si>
  <si>
    <t>Sedimentation Chamber for Pretreatment?</t>
  </si>
  <si>
    <t>Water Quality Flow - WQf</t>
  </si>
  <si>
    <t>Minimum Filter Area</t>
  </si>
  <si>
    <t>Treatment Capacity of Media</t>
  </si>
  <si>
    <t>BIORETENTION CALCULATOR</t>
  </si>
  <si>
    <t xml:space="preserve">The time needed to drain the WQv is calculated here.  If the drain time is less than the desired time entered in Step 3, use outlet control, such as an orifice, to control the outflow. </t>
  </si>
  <si>
    <t>inches (generally 2")</t>
  </si>
  <si>
    <t xml:space="preserve">Permeable pavement includes permeable pavers, porous asphalt, and pervious concrete designed according to SDG requirements.  If runoff from adjacent impervious surfaces is draining to the permeable pavement, then the total paved area (including the area planned for permeable pavement) should be entered as impervious area in Step 5.  The portion of this total paved area that must be converted to permeable pavement to meet the SDG treatment requirements can then be calculated using the Permeable Pavement calculator.  </t>
  </si>
  <si>
    <t>The need for underdrains is determined based on the infiltration rate.  If other constraints require underdrains, such as high groundwater or bedrock, set the infiltration rate in Step 6 to 0.  See the PP fact sheet for infiltration constraints.</t>
  </si>
  <si>
    <r>
      <t>gpm/ft</t>
    </r>
    <r>
      <rPr>
        <vertAlign val="superscript"/>
        <sz val="10"/>
        <rFont val="Arial"/>
        <family val="2"/>
      </rPr>
      <t xml:space="preserve">2 </t>
    </r>
    <r>
      <rPr>
        <sz val="10"/>
        <rFont val="Arial"/>
        <family val="2"/>
      </rPr>
      <t>(capacity should be provided by manufacturer)</t>
    </r>
  </si>
  <si>
    <t>MEDIA FILTER CALCULATOR</t>
  </si>
  <si>
    <t>Permeable Pavement (PP) Type</t>
  </si>
  <si>
    <t xml:space="preserve">Enter the infiltration rate of the underlying soils. This should be determined by geotechnical testing or, for conceptual studies, soil infiltration maps. If the PP is going to be underdrained and lined to prevent infiltration, then use 0.  A default safety factor of two will be applied to the infiltration rate to account for soils compaction and clogging, as well as the inherent uncertainty in rate measurement. </t>
  </si>
  <si>
    <t>Drain Time - t</t>
  </si>
  <si>
    <t>Drain Time - t</t>
  </si>
  <si>
    <t>Calculated WQv Drain Time</t>
  </si>
  <si>
    <t>Ave. Discharge Rate for Desired Drain Time</t>
  </si>
  <si>
    <t xml:space="preserve">For underdrained systems, the average discharge rate is calculated here based on the desired drain time.  </t>
  </si>
  <si>
    <t>Drain Time</t>
  </si>
  <si>
    <t>Width of Basin at WQv Depth</t>
  </si>
  <si>
    <t xml:space="preserve">The estimated flow rate through the orifice when the water level is at the WQv depth is calculated here. </t>
  </si>
  <si>
    <t>Drain time - t</t>
  </si>
  <si>
    <t>Dimensions Calculator</t>
  </si>
  <si>
    <t>A spillway is a structure to provide the control release of extreme flows, in the event the capacity of the pond/wetland is overwhelmed.</t>
  </si>
  <si>
    <t xml:space="preserve">The depth from the invert of the basin to the top of the permanent pool water level. This depth may vary in wetlands; for the purposes of the planning level calculations, the average permanent pool depth can be entered here. </t>
  </si>
  <si>
    <t xml:space="preserve">The recommended design drain time for the basin is 48 hours. </t>
  </si>
  <si>
    <t>hours (recommend 48 hours)</t>
  </si>
  <si>
    <t xml:space="preserve">The diameter of the orifice needed to drain the WQv in the design drain time is shown here. This planning level estimate of the required outlet control should be revised during design. The minimum allowable orifice size is 1-inch diameter. </t>
  </si>
  <si>
    <t xml:space="preserve">The temporary ponding area above the permanent pool that stores the WQv volume. </t>
  </si>
  <si>
    <t>Live Storage Volume Depth</t>
  </si>
  <si>
    <t>Permanent Pool Depth</t>
  </si>
  <si>
    <t xml:space="preserve">Use the following steps of the Dimensions Calculator to determine the configuration of the detention pond.  </t>
  </si>
  <si>
    <t xml:space="preserve">Enter the length to width ratio of the detention pond.  A ratio between 2 and 4 is recommended. </t>
  </si>
  <si>
    <t xml:space="preserve">The total depth of the basin at the WQv level is calculated here. </t>
  </si>
  <si>
    <t xml:space="preserve">The minimum base area of the infiltration basin is calculated here based on infiltrating the entire WQv within the maximum drawdown time. </t>
  </si>
  <si>
    <t>Est. Impervious DMA</t>
  </si>
  <si>
    <t>Vegetated roof</t>
  </si>
  <si>
    <r>
      <t xml:space="preserve">* </t>
    </r>
    <r>
      <rPr>
        <sz val="8"/>
        <rFont val="Arial"/>
        <family val="2"/>
      </rPr>
      <t>Or minimum orifice diameter of 1 inch</t>
    </r>
  </si>
  <si>
    <t>Rainwater harvesting</t>
  </si>
  <si>
    <t>A</t>
  </si>
  <si>
    <r>
      <t xml:space="preserve">SFPUC jurisdiction: 0.75 inch rainfall depth. Enter "2" in Step 12.  </t>
    </r>
    <r>
      <rPr>
        <b/>
        <sz val="10"/>
        <rFont val="Arial"/>
        <family val="2"/>
      </rPr>
      <t xml:space="preserve"> </t>
    </r>
  </si>
  <si>
    <t xml:space="preserve">The minimum PP area required is calculated here. </t>
  </si>
  <si>
    <t>Alternate Part III - Calculate Runoff Captured Based on Available Space</t>
  </si>
  <si>
    <t>Shape of Cistern</t>
  </si>
  <si>
    <t>Select Circular or Rectangular</t>
  </si>
  <si>
    <t>Cistern Volume</t>
  </si>
  <si>
    <r>
      <t>ft</t>
    </r>
    <r>
      <rPr>
        <vertAlign val="superscript"/>
        <sz val="10"/>
        <rFont val="Arial"/>
        <family val="2"/>
      </rPr>
      <t>3</t>
    </r>
  </si>
  <si>
    <t>Rainfall Event Captured</t>
  </si>
  <si>
    <t>References</t>
  </si>
  <si>
    <t>Use the steps below to determine the swale dimensions and length such that the WQf is met by the proposed design.</t>
  </si>
  <si>
    <t>Depth of Bioretention Soil Mix - d</t>
  </si>
  <si>
    <t>Porosity of Bioretention Soil Mix - n</t>
  </si>
  <si>
    <t>Hydraulic Conductivity of Bioretention Soil Mix - k</t>
  </si>
  <si>
    <t xml:space="preserve">Enter the depth of the bioretention soil mix. This should be greater than 1.5 ft and is generally between 1.5 and 2.5 ft. </t>
  </si>
  <si>
    <t xml:space="preserve">The default porosity and design hydraulic conductivity of the bioretention soil mix  are entered here. The conductivity is based on the bioretention media recommendations provided in the Bioretention Fact Sheet. </t>
  </si>
  <si>
    <t>Use the steps below to determine the swale dimensions and length such that the WQv is met by the proposed design.</t>
  </si>
  <si>
    <t xml:space="preserve">The default porosity and hydraulic conductivity of the bioretention soil mix are entered here. The conductivity is based on the media recommendations provided in the Bioretention Fact Sheet. Changing these default values is not recommended. </t>
  </si>
  <si>
    <t xml:space="preserve">The default porosity and hydraulic conductivity of the bioretention soil mix are entered here. Changing these values is not recommended. </t>
  </si>
  <si>
    <t>min allowable is 25%, i.e., 1 part permeable pavement to 3 parts impermeable paved drainage area</t>
  </si>
  <si>
    <t>The allowable PP area as a percent of the total drainage area is given here. To reduce pollutant loadings and extend the expected life of the system, the area of the permeable pavement system must be 25% or more of the total drainage area (i.e., 1 part permeable pavement facility area to 3 parts impervious paved drainage area). To allow run-on to permeable pavers, it is recommended that they have 15% or more of their surface area open.  See the PP fact sheet for more information regarding design requirements.</t>
  </si>
  <si>
    <t xml:space="preserve">Divide your entire site into discrete drainage management areas (DMAs) and enter the number of DMAs. A DMA is a portion of your site that drains to a common location.  </t>
  </si>
  <si>
    <t>CALCULATOR</t>
  </si>
  <si>
    <t>The ratio of the bioretention area to the DMA is calculated here as a check of the sizing. The bioretention area is typically between 4 to 7% of the impervious drainage area.</t>
  </si>
  <si>
    <r>
      <t xml:space="preserve">i = </t>
    </r>
    <r>
      <rPr>
        <sz val="10"/>
        <rFont val="Arial"/>
        <family val="2"/>
      </rPr>
      <t>design rainfall intensity (in/hr)</t>
    </r>
  </si>
  <si>
    <t>WQf = C x i x A/43560</t>
  </si>
  <si>
    <t xml:space="preserve">For online system, the depth used to convey storm events larger than the WQf.  It equals the total swale depth minus the freeboard depth. </t>
  </si>
  <si>
    <t>ETo Values (DWR 2005 - CIMIS)</t>
  </si>
  <si>
    <t>Unit Storage</t>
  </si>
  <si>
    <t>Percent</t>
  </si>
  <si>
    <t>Desired Demand Met</t>
  </si>
  <si>
    <t xml:space="preserve">Cistern Size  </t>
  </si>
  <si>
    <t xml:space="preserve">The estimated monthly runoff captured and reused by the cistern is shown in the table. </t>
  </si>
  <si>
    <t>To Cistern (gal/mo)</t>
  </si>
  <si>
    <t>Landscape Area to be Irrigated</t>
  </si>
  <si>
    <r>
      <t>Species Factor - k</t>
    </r>
    <r>
      <rPr>
        <vertAlign val="subscript"/>
        <sz val="10"/>
        <rFont val="Arial"/>
        <family val="2"/>
      </rPr>
      <t>s</t>
    </r>
  </si>
  <si>
    <r>
      <t>Density Factor - k</t>
    </r>
    <r>
      <rPr>
        <vertAlign val="subscript"/>
        <sz val="10"/>
        <rFont val="Arial"/>
        <family val="2"/>
      </rPr>
      <t>d</t>
    </r>
  </si>
  <si>
    <t xml:space="preserve"> 0.5-0.9 for low, 1 for average, 1.1-1.3 for high. See p. 18 of Guide (DWR 2000).</t>
  </si>
  <si>
    <r>
      <t>Microclimate Factor - k</t>
    </r>
    <r>
      <rPr>
        <vertAlign val="subscript"/>
        <sz val="10"/>
        <rFont val="Arial"/>
        <family val="2"/>
      </rPr>
      <t>mc</t>
    </r>
  </si>
  <si>
    <t xml:space="preserve"> 0.5-0.9 for low, 1 for average, 1.1-1.4 for high. See p. 19 of Guide (DWR 2000).</t>
  </si>
  <si>
    <r>
      <t>Landscape Coefficient - K</t>
    </r>
    <r>
      <rPr>
        <vertAlign val="subscript"/>
        <sz val="10"/>
        <rFont val="Arial"/>
        <family val="2"/>
      </rPr>
      <t>L</t>
    </r>
  </si>
  <si>
    <r>
      <t xml:space="preserve"> K</t>
    </r>
    <r>
      <rPr>
        <i/>
        <vertAlign val="subscript"/>
        <sz val="10"/>
        <rFont val="Arial"/>
        <family val="2"/>
      </rPr>
      <t>L</t>
    </r>
    <r>
      <rPr>
        <i/>
        <sz val="10"/>
        <rFont val="Arial"/>
        <family val="2"/>
      </rPr>
      <t xml:space="preserve"> = k</t>
    </r>
    <r>
      <rPr>
        <i/>
        <vertAlign val="subscript"/>
        <sz val="10"/>
        <rFont val="Arial"/>
        <family val="2"/>
      </rPr>
      <t>s</t>
    </r>
    <r>
      <rPr>
        <i/>
        <sz val="10"/>
        <rFont val="Arial"/>
        <family val="2"/>
      </rPr>
      <t>*k</t>
    </r>
    <r>
      <rPr>
        <i/>
        <vertAlign val="subscript"/>
        <sz val="10"/>
        <rFont val="Arial"/>
        <family val="2"/>
      </rPr>
      <t>d</t>
    </r>
    <r>
      <rPr>
        <i/>
        <sz val="10"/>
        <rFont val="Arial"/>
        <family val="2"/>
      </rPr>
      <t>*k</t>
    </r>
    <r>
      <rPr>
        <i/>
        <vertAlign val="subscript"/>
        <sz val="10"/>
        <rFont val="Arial"/>
        <family val="2"/>
      </rPr>
      <t>mc</t>
    </r>
  </si>
  <si>
    <t xml:space="preserve">Enter the lesser value of the depth to groundwater and depth to bedrock at the site. The bottom of the trench should be at least 4' from bedrock and the high groundwater table.  </t>
  </si>
  <si>
    <t>feet (between 3 to 8 feet)</t>
  </si>
  <si>
    <t>inches (generally 3 to 4")</t>
  </si>
  <si>
    <r>
      <t>Depth of Transition</t>
    </r>
    <r>
      <rPr>
        <sz val="10"/>
        <rFont val="Arial"/>
        <family val="2"/>
      </rPr>
      <t xml:space="preserve"> Layer</t>
    </r>
  </si>
  <si>
    <t>hours (recommend 48)</t>
  </si>
  <si>
    <t xml:space="preserve">Enter the maximum design depth for the swale. For online systems, the depth is greater than the WQf depth in order to convey runoff from storms larger than the water quality event. For offline systems, enter the design depth from Step 6, divided by 12 to convert the depth to feet. </t>
  </si>
  <si>
    <t xml:space="preserve">For online systems, the estimated flow rate at the maximum design depth is calculated. This is the maximum capacity of the swale. </t>
  </si>
  <si>
    <t>Estimated Imp. Drainage Area</t>
  </si>
  <si>
    <t>Sizing Ratio (BMP/DMA)</t>
  </si>
  <si>
    <t xml:space="preserve">typically between 2 and 4 </t>
  </si>
  <si>
    <t xml:space="preserve">The depth above the filter surface where runoff is ponded temporarily before filtering through the media. </t>
  </si>
  <si>
    <t xml:space="preserve">If the system is not underdrained, the time to infiltrate the WQv is calculated here.  </t>
  </si>
  <si>
    <t xml:space="preserve">Recommend 5.1 for multi-family, 4.8 for single family </t>
  </si>
  <si>
    <t>Enter the depth of the permanent pool. Wetlands include shallower areas (0 to 18 inch depth) for increased plant growth as well as deeper micropools (up to 4 feet depth). Enter the average depth of the wetlands' permanent pool. There is typically a 1.5 to 2 feet average depth for wetlands, 4 to 6 feet for wet ponds.</t>
  </si>
  <si>
    <t xml:space="preserve">Enter the width of the pond bottom at the invert of the basin. </t>
  </si>
  <si>
    <t>Enter the washing machine loads and gallons per load. The default loads per day is 0.3. Gallons per load ranges from 15 gallons for ultra-efficient to 35 for conventional.</t>
  </si>
  <si>
    <t xml:space="preserve">The indoor non-potable demand is calculated here. </t>
  </si>
  <si>
    <t>feet (recommend at least 0.2 ft of freeboard between ponding depth and overflow elevation)</t>
  </si>
  <si>
    <t>Use the BMP sizing calculators to help you size and design each treatment control measure.</t>
  </si>
  <si>
    <t xml:space="preserve">The time taken for the water quality storm to fill the swale system. </t>
  </si>
  <si>
    <t xml:space="preserve">Enter the ponding depth above the swale. This is typically 6 to 12 inches. The depth should be equal to the check dam height.   </t>
  </si>
  <si>
    <t xml:space="preserve">The spacing between check dams is calculated here based on the swale slope and check dam height. </t>
  </si>
  <si>
    <t>To Determine the Volume of Water Treated by Available Dimensions</t>
  </si>
  <si>
    <t>Step 15</t>
  </si>
  <si>
    <t>Step 14</t>
  </si>
  <si>
    <t>The area of the base of the trench or dry well.</t>
  </si>
  <si>
    <t>Available Length (or Diameter for Dry Well)</t>
  </si>
  <si>
    <t>Step 1</t>
  </si>
  <si>
    <t>Step 2</t>
  </si>
  <si>
    <t>Step 3</t>
  </si>
  <si>
    <t>Step 4</t>
  </si>
  <si>
    <t>Step 5</t>
  </si>
  <si>
    <t>Step 6</t>
  </si>
  <si>
    <t>Step 7</t>
  </si>
  <si>
    <t>Step 8</t>
  </si>
  <si>
    <t>Step 9</t>
  </si>
  <si>
    <t>Step 10</t>
  </si>
  <si>
    <t>Site Meets Infiltration Constraints?</t>
  </si>
  <si>
    <t>Underlying Infiltration Rate - f</t>
  </si>
  <si>
    <t>feet (recommend &gt;1.5 ft)</t>
  </si>
  <si>
    <t>feet (recommend 0.5 to 1 ft)</t>
  </si>
  <si>
    <t>Ponding Depth (Pd)</t>
  </si>
  <si>
    <t>Factor of Safety</t>
  </si>
  <si>
    <t>in/hr (recommend 5)</t>
  </si>
  <si>
    <t>Area Draining to Bioretention</t>
  </si>
  <si>
    <t>To Determine The Required Dimensions for the Vault</t>
  </si>
  <si>
    <t xml:space="preserve">Enter the side slope of the pond. The slope of earthen side walls should be no steeper than 3:1 (i.e., at least 3 feet horizontal for each 1 foot vertical). Enter 0 for vertical hardscaped sidewalls. </t>
  </si>
  <si>
    <t>gpm</t>
  </si>
  <si>
    <t xml:space="preserve">Side Slope </t>
  </si>
  <si>
    <t xml:space="preserve">The Water Quality Volume (WQv) for each DMA is calculated here. The WQv is the required volume to be managed by volume-based BMPs such that the water quality performance measure requirements are met. </t>
  </si>
  <si>
    <t>Depth at WQv - d</t>
  </si>
  <si>
    <t>Depth at WQv (d)</t>
  </si>
  <si>
    <t xml:space="preserve">The width and length of the basin at the design water depth (i.e., WQv depth) are calculated here. </t>
  </si>
  <si>
    <t>gpm (flow rate when basin is at WQv depth)</t>
  </si>
  <si>
    <t>Forebay Volume Calculator</t>
  </si>
  <si>
    <t>Chose Jurisdiction for WQv Performance Measure</t>
  </si>
  <si>
    <t>Water Quality Volume Equation:</t>
  </si>
  <si>
    <t>Where:</t>
  </si>
  <si>
    <r>
      <rPr>
        <i/>
        <sz val="10"/>
        <rFont val="Arial"/>
        <family val="2"/>
      </rPr>
      <t>C</t>
    </r>
    <r>
      <rPr>
        <sz val="10"/>
        <rFont val="Arial"/>
        <family val="2"/>
      </rPr>
      <t xml:space="preserve"> = runoff coefficient </t>
    </r>
  </si>
  <si>
    <t>DMA</t>
  </si>
  <si>
    <t>Area</t>
  </si>
  <si>
    <t>Drainage area constraints table</t>
  </si>
  <si>
    <t>BMP</t>
  </si>
  <si>
    <t>min</t>
  </si>
  <si>
    <t>max</t>
  </si>
  <si>
    <t>Detention pond</t>
  </si>
  <si>
    <t>5 ac*</t>
  </si>
  <si>
    <t>1 ac</t>
  </si>
  <si>
    <t>Wet pond</t>
  </si>
  <si>
    <t xml:space="preserve">Enter the design water depth of the detention pond (i.e., the water depth when the basin has completely captured the WQv event). Depths are typically between 2 and 5 feet. This depth DOES NOT include freeboard, which is typically 1 foot above the maximum design depth (freeboard should be added in actual design). </t>
  </si>
  <si>
    <t>Enter the Water Quality Volume (WQv) for the drainage management area (DMA). The WQv is calculated in Step 14 of the Water Quality Volume and Water Quality Flow Rate Calculator.</t>
  </si>
  <si>
    <t xml:space="preserve">The forebay and VRF storage volumes are calculated based on their percentages and the total WQv. </t>
  </si>
  <si>
    <t xml:space="preserve">Enter the depth of the permanent pool gravel. This is the depth from the bottom of the VRF to the permanent pool level.  </t>
  </si>
  <si>
    <t>Depth of Forebay</t>
  </si>
  <si>
    <t xml:space="preserve">The depth of water that can be stored in the forebay. </t>
  </si>
  <si>
    <t>Impervious Drainage Area</t>
  </si>
  <si>
    <t>% of DA</t>
  </si>
  <si>
    <t>Percent of DA</t>
  </si>
  <si>
    <t>Total Depth of Gravel - d</t>
  </si>
  <si>
    <t>feet, typically 2 to 4 feet, recommend 3 feet</t>
  </si>
  <si>
    <t>Depth of Forebay</t>
  </si>
  <si>
    <t>feet, typically 1 to 3 feet</t>
  </si>
  <si>
    <t>Cross-sectional Area Required</t>
  </si>
  <si>
    <t>Width Required</t>
  </si>
  <si>
    <t>Surface Area</t>
  </si>
  <si>
    <t>Max Ponding Depth Above VRF - Pd</t>
  </si>
  <si>
    <t>Detention Vault Calculator - by Available Area</t>
  </si>
  <si>
    <t>Unit Basin Storage - inches</t>
  </si>
  <si>
    <t>Factor</t>
  </si>
  <si>
    <t>24 hr drawdown</t>
  </si>
  <si>
    <t>48 hr drawdown</t>
  </si>
  <si>
    <t>Comp</t>
  </si>
  <si>
    <t>C'</t>
  </si>
  <si>
    <t>Depth of Permanent Pool</t>
  </si>
  <si>
    <t>Enter the infiltration rate of the underlying soils. This should be determined by geotechnical testing or, for conceptual studies, soil infiltration maps.</t>
  </si>
  <si>
    <t>Check Depth</t>
  </si>
  <si>
    <t>VEGETATED BUFFER STRIP CALCULATOR</t>
  </si>
  <si>
    <t xml:space="preserve">The drawdown time for the WQv is calculated here. If the drawdown time is less than 12 hours, decrease the VRF width or provide an outlet flow control device. </t>
  </si>
  <si>
    <t xml:space="preserve">The total storage depth is calculated. The depth is equal to the sum of the ponding depth and the gravel depth above the permanent pool. </t>
  </si>
  <si>
    <t xml:space="preserve">Enter the porosity of the gravel. A default value of 0.35 is recommended. </t>
  </si>
  <si>
    <t>The volume of water treated by the proposed detention vault is shown here. If this volume is less than the required WQv then additional treatments will likely be required.</t>
  </si>
  <si>
    <t>To Determine the Volume of Water Treated by an Available Area</t>
  </si>
  <si>
    <t>Live Storage Depth</t>
  </si>
  <si>
    <t>Design Live Storage Depth</t>
  </si>
  <si>
    <t>Swale Base Width</t>
  </si>
  <si>
    <t>Swale Side Slope</t>
  </si>
  <si>
    <t>Swale Slope</t>
  </si>
  <si>
    <t>The width of the bottom of the swale, when the swale is a trapezoidal shape.</t>
  </si>
  <si>
    <t>Depth at WQf</t>
  </si>
  <si>
    <t xml:space="preserve">Enter the length of the VRF. </t>
  </si>
  <si>
    <t xml:space="preserve">The required cross-sectional area and width of the VRF are calculated here. </t>
  </si>
  <si>
    <t xml:space="preserve">The surface area of the VRF is calculated here. </t>
  </si>
  <si>
    <t xml:space="preserve">The velocity through the filter is calculated here. Runoff flows horizontally from the upstream end to the downstream end of the VRF. </t>
  </si>
  <si>
    <t>The rate at which water flows through the gravel bed, in this case, horizontally.</t>
  </si>
  <si>
    <t>generally between 2 and 4</t>
  </si>
  <si>
    <t>Width of Pond Bottom</t>
  </si>
  <si>
    <t>Pond Length to Width Ratio (L/W)</t>
  </si>
  <si>
    <t xml:space="preserve">Pond Side Slope </t>
  </si>
  <si>
    <t>Width of Pond at WQv Depth</t>
  </si>
  <si>
    <t>Length of Pond at WQv Depth</t>
  </si>
  <si>
    <t>Length of Basin at WQv Depth</t>
  </si>
  <si>
    <t>- Please refer to calculator instructions on previous "RWH Instructions" tab.</t>
  </si>
  <si>
    <r>
      <t xml:space="preserve">Enter species factor based on type of plants used.  See pages 62-99 of: </t>
    </r>
    <r>
      <rPr>
        <i/>
        <sz val="10"/>
        <rFont val="Arial"/>
        <family val="2"/>
      </rPr>
      <t>A Guide to Estimating Irrigation Water Needs of Landscape Plantings in California</t>
    </r>
    <r>
      <rPr>
        <sz val="10"/>
        <rFont val="Arial"/>
        <family val="2"/>
      </rPr>
      <t xml:space="preserve"> (Guide) (Department of Water Resources 2000) for more info.</t>
    </r>
  </si>
  <si>
    <t xml:space="preserve">Persons per Unit </t>
  </si>
  <si>
    <t xml:space="preserve">- This calculator estimates the appropriate size for a water reuse cistern based on irrigation and non-potable demand. </t>
  </si>
  <si>
    <t>per day</t>
  </si>
  <si>
    <t>For retail buildings, enter the number of customers (per day).</t>
  </si>
  <si>
    <t>For facilities such as schools, museums, and churches, enter the number of students or visitors (per day).</t>
  </si>
  <si>
    <t xml:space="preserve">Part-time occupants have an FTE = # hrs (per day/8 hrs). </t>
  </si>
  <si>
    <t>per day/8 hours</t>
  </si>
  <si>
    <t>Typically ranges from 2 to 3. Recommend 2.1 for multi-family, and 2.7 for single family.</t>
  </si>
  <si>
    <t>average</t>
  </si>
  <si>
    <t xml:space="preserve">The default values for toilet flushes per day are given here. These values are based on the LEED-NC reference manual (USGBC 2007) and SFPUC demand estimates (SFPUC 2004). </t>
  </si>
  <si>
    <t>feet (typically 1.5 to 2 feet average depth for wetlands, 4 to 6 feet for wet pond)</t>
  </si>
  <si>
    <t xml:space="preserve">The flow depth during the water quality event is calculated. The depth should be less than or equal to 4 inches, or 0.33 feet. If it's greater, increase the swale base width. </t>
  </si>
  <si>
    <t>Length to Width Ratio (L/W)</t>
  </si>
  <si>
    <t>Horizontal rate of flow through the cross-sectional area of the filter.  Cross-sectional area is calculated as width x depth. Flow is in the longitudinal direction.</t>
  </si>
  <si>
    <t>Residence time</t>
  </si>
  <si>
    <t xml:space="preserve">The time for runoff to travel from the upstream end of the VRF to the downstream end. </t>
  </si>
  <si>
    <t>Vegetated Rock Filter Calculator - by Water Quality Volume</t>
  </si>
  <si>
    <t>cubic feet/second</t>
  </si>
  <si>
    <t>% of WQv stored in Forebay</t>
  </si>
  <si>
    <t>Max Allowable Depth - dmax</t>
  </si>
  <si>
    <r>
      <t>Permeable Pavement</t>
    </r>
    <r>
      <rPr>
        <b/>
        <vertAlign val="superscript"/>
        <sz val="10"/>
        <rFont val="Arial"/>
        <family val="2"/>
      </rPr>
      <t>a</t>
    </r>
  </si>
  <si>
    <r>
      <t>Vegetated Roof</t>
    </r>
    <r>
      <rPr>
        <b/>
        <vertAlign val="superscript"/>
        <sz val="10"/>
        <rFont val="Arial"/>
        <family val="2"/>
      </rPr>
      <t>b</t>
    </r>
  </si>
  <si>
    <t>Adjust the porosity of the trench backfill material if necessary. Recommend using a default value of 0.35. For a dry well without backfill use 1.</t>
  </si>
  <si>
    <t>Dry Well Diameter</t>
  </si>
  <si>
    <t>NA</t>
  </si>
  <si>
    <t>Underlying Infiltration rate - f</t>
  </si>
  <si>
    <t>feet (typically 1 to 3 feet)</t>
  </si>
  <si>
    <t>hours (24 to 48, recommend 48)</t>
  </si>
  <si>
    <t>Drain Time (for underdrained systems) - t</t>
  </si>
  <si>
    <t>cubic feet (adjust depth in Step 9 until storage volume is greater than WQv)</t>
  </si>
  <si>
    <t>feet (adjust width until storage volume in Step 10 is greater than WQv)</t>
  </si>
  <si>
    <t>feet (adjust length until residence time in Step 28 is greater than 12 hours)</t>
  </si>
  <si>
    <t xml:space="preserve">Enter the longitudinal slope of the swale. The maximum slope for swale design is 5%, and 2% is preferred. Consider using a meandering design, terraces, or check dams to create a satisfactory slope. Enter the percentage as a whole number; for example, for 2%, enter 2 rather than 0.02. </t>
  </si>
  <si>
    <t>(2% recommended, use check dams to keep slope less than 5%)</t>
  </si>
  <si>
    <t>WATER QUALITY VOLUME AND WATER QUALITY FLOW RATE CALCULATOR</t>
  </si>
  <si>
    <t>Adjust the porosity of the trench/dry well backfill material if necessary. Recommend using a default value of 0.35. For a dry well without backfill use 1.</t>
  </si>
  <si>
    <r>
      <t>University of California Cooperative Extension and California Department of Water Resources (DWR). 2000.</t>
    </r>
    <r>
      <rPr>
        <i/>
        <sz val="10"/>
        <rFont val="Arial"/>
        <family val="2"/>
      </rPr>
      <t xml:space="preserve"> A Guide to Estimating Landscape Planting Needs in California</t>
    </r>
    <r>
      <rPr>
        <sz val="10"/>
        <rFont val="Arial"/>
        <family val="2"/>
      </rPr>
      <t>.  http://www.owue.water.ca.gov/docs/wucols00.pdf. August 2000.</t>
    </r>
  </si>
  <si>
    <t>Ave. Monthly</t>
  </si>
  <si>
    <t>Reference</t>
  </si>
  <si>
    <t>Actual</t>
  </si>
  <si>
    <t>Irrigation Demand</t>
  </si>
  <si>
    <t>Rainfall</t>
  </si>
  <si>
    <t>Evapotranspiration</t>
  </si>
  <si>
    <t xml:space="preserve">% of  </t>
  </si>
  <si>
    <t xml:space="preserve"> Estimated efficiencies are 0.70 to 0.85 for spray, 0.9 for drip, 0.95 for subsurface drip. </t>
  </si>
  <si>
    <t>Site Location (ETo Zone)</t>
  </si>
  <si>
    <t>Month</t>
  </si>
  <si>
    <t>The ratio of the BMP area to the DMA is calculated here as a check of the sizing.  The size of media filters is typically between 3 to 6% of the impervious drainage area.</t>
  </si>
  <si>
    <r>
      <t xml:space="preserve">typically between 4 to </t>
    </r>
    <r>
      <rPr>
        <sz val="10"/>
        <color indexed="8"/>
        <rFont val="Arial"/>
        <family val="2"/>
      </rPr>
      <t>7% of the impervious drainage area</t>
    </r>
  </si>
  <si>
    <t>Part I - Calculate Irrigation Demand</t>
  </si>
  <si>
    <t>Turf/Crop Area to be Irrigated</t>
  </si>
  <si>
    <r>
      <t xml:space="preserve"> ft</t>
    </r>
    <r>
      <rPr>
        <vertAlign val="superscript"/>
        <sz val="10"/>
        <rFont val="Arial"/>
        <family val="2"/>
      </rPr>
      <t>2</t>
    </r>
  </si>
  <si>
    <t>Crop Coefficient - Kc</t>
  </si>
  <si>
    <t>Ending Cistern</t>
  </si>
  <si>
    <t>Water Captured</t>
  </si>
  <si>
    <t>Water Reused</t>
  </si>
  <si>
    <t>Overflow</t>
  </si>
  <si>
    <t>Assumes cistern is empty at the beginning of September</t>
  </si>
  <si>
    <t>Runoff to Cistern</t>
  </si>
  <si>
    <t>Non-Potable Demand (gal/mo)</t>
  </si>
  <si>
    <t>hours (recommend between 24 and 48 hours)</t>
  </si>
  <si>
    <t>DETENTION POND CALCULATOR</t>
  </si>
  <si>
    <t>in/month</t>
  </si>
  <si>
    <t>ETo</t>
  </si>
  <si>
    <r>
      <t>ET</t>
    </r>
    <r>
      <rPr>
        <b/>
        <vertAlign val="subscript"/>
        <sz val="10"/>
        <rFont val="Arial"/>
        <family val="2"/>
      </rPr>
      <t>L</t>
    </r>
  </si>
  <si>
    <r>
      <t>ft</t>
    </r>
    <r>
      <rPr>
        <b/>
        <vertAlign val="superscript"/>
        <sz val="10"/>
        <rFont val="Arial"/>
        <family val="2"/>
      </rPr>
      <t>3</t>
    </r>
    <r>
      <rPr>
        <b/>
        <sz val="10"/>
        <rFont val="Arial"/>
        <family val="2"/>
      </rPr>
      <t>/month</t>
    </r>
  </si>
  <si>
    <t>gal/mo</t>
  </si>
  <si>
    <t>gpd</t>
  </si>
  <si>
    <t>annual</t>
  </si>
  <si>
    <t>(in/unit area)</t>
  </si>
  <si>
    <t>days/mo</t>
  </si>
  <si>
    <t>January</t>
  </si>
  <si>
    <t>February</t>
  </si>
  <si>
    <t>March</t>
  </si>
  <si>
    <t>April</t>
  </si>
  <si>
    <t>May</t>
  </si>
  <si>
    <t>June</t>
  </si>
  <si>
    <t>WET POND/WETLAND CALCULATOR</t>
  </si>
  <si>
    <t>Weir</t>
  </si>
  <si>
    <t>Infiltration Basin Calculator - by Water Quality Volume</t>
  </si>
  <si>
    <t>Minimum Starting Guess</t>
  </si>
  <si>
    <t>gallons</t>
  </si>
  <si>
    <t xml:space="preserve">Use the calculated minimum cistern volume as a starting guess of the required cistern size.  </t>
  </si>
  <si>
    <t>square ft</t>
  </si>
  <si>
    <t>Hide Row</t>
  </si>
  <si>
    <t xml:space="preserve">For commercial and industrial sites, enter the number of full-time equivalents (FTEs) located on site.  An 8-hr/day occupant has an FTE of 1.  </t>
  </si>
  <si>
    <t>Annual Reuse Demand</t>
  </si>
  <si>
    <t>MG/yr</t>
  </si>
  <si>
    <t>Part III - Calculate Cistern Size Based on Percent Capture</t>
  </si>
  <si>
    <t>Ave. Runoff Coefficient</t>
  </si>
  <si>
    <t xml:space="preserve">Drainage Area </t>
  </si>
  <si>
    <t xml:space="preserve">Enter the square footage of the area draining to the cistern. </t>
  </si>
  <si>
    <t>SF Downtown Gauge</t>
  </si>
  <si>
    <t xml:space="preserve">If the cistern cannot capture the required percentage of annual runoff (typically at least 80%), then additional BMPs will be needed to manage runoff from the drainage area. </t>
  </si>
  <si>
    <t xml:space="preserve">Enter the depth of the cistern to find the surface area covered by the cistern. </t>
  </si>
  <si>
    <t>Zone 1</t>
  </si>
  <si>
    <t>Zone 2</t>
  </si>
  <si>
    <t>(inches)</t>
  </si>
  <si>
    <t>Capture</t>
  </si>
  <si>
    <r>
      <t>Enter the square footage of the area to be irrigated that is covered by turfgrass or crops.  Note: 1 acre = 43560 ft</t>
    </r>
    <r>
      <rPr>
        <vertAlign val="superscript"/>
        <sz val="10"/>
        <rFont val="Arial"/>
        <family val="2"/>
      </rPr>
      <t>2</t>
    </r>
    <r>
      <rPr>
        <sz val="10"/>
        <rFont val="Arial"/>
        <family val="2"/>
      </rPr>
      <t>.</t>
    </r>
  </si>
  <si>
    <t>Link to CIMIS</t>
  </si>
  <si>
    <r>
      <t>Enter the square footage of the landscaped area to be irrigated.  If no landscaped area, skip to Step 8. Note: 1 acre = 43560 ft</t>
    </r>
    <r>
      <rPr>
        <vertAlign val="superscript"/>
        <sz val="10"/>
        <rFont val="Arial"/>
        <family val="2"/>
      </rPr>
      <t>2</t>
    </r>
    <r>
      <rPr>
        <sz val="10"/>
        <rFont val="Arial"/>
        <family val="2"/>
      </rPr>
      <t>.</t>
    </r>
  </si>
  <si>
    <t xml:space="preserve">This step checks that the storage volume is greater than the WQv entered in Step 1.  </t>
  </si>
  <si>
    <r>
      <t>Enter the longitudinal slope of the swale. The maximum slope for swale desig</t>
    </r>
    <r>
      <rPr>
        <sz val="10"/>
        <rFont val="Arial"/>
        <family val="2"/>
      </rPr>
      <t>n is 5%</t>
    </r>
    <r>
      <rPr>
        <sz val="10"/>
        <rFont val="Arial"/>
        <family val="2"/>
      </rPr>
      <t>, and 2% is preferred. Consider using a meandering design, terraces, or check dams to create a satisfactory slope.</t>
    </r>
  </si>
  <si>
    <t>Swale Average Cross-Sectional Area</t>
  </si>
  <si>
    <t xml:space="preserve">Length of Swale </t>
  </si>
  <si>
    <t>Check Dam Spacing</t>
  </si>
  <si>
    <t>feet (horizontal spacing between check dams)</t>
  </si>
  <si>
    <t>Swale Side Slope (Horizontal/Vertical)</t>
  </si>
  <si>
    <t>To Determine The Required Size of the Infiltration Trench/Dry Well</t>
  </si>
  <si>
    <t>NOTES</t>
  </si>
  <si>
    <t>Last updated: 11/23/10</t>
  </si>
  <si>
    <t xml:space="preserve">San Francisco Public Utilities Commission (SFPUC). 2004. Water Use Estimates. Source files: "householdcons.xls", "nonresconsump.xls". </t>
  </si>
  <si>
    <t>Total Irrigation Area</t>
  </si>
  <si>
    <t>Average Coefficient</t>
  </si>
  <si>
    <t>Irrigation Efficiency</t>
  </si>
  <si>
    <t xml:space="preserve">Enter depth, shape, and length/diameter of the cistern. </t>
  </si>
  <si>
    <t>The surface area and volume of the cistern are calculated here.</t>
  </si>
  <si>
    <t xml:space="preserve">To provide adequate treatment of the WQf, the recommended residence time in the swale is 9 minutes.  If flow enters the swale continuously along its length rather than at the upstream end, entering an 18 minute residence time is recommended. </t>
  </si>
  <si>
    <t xml:space="preserve">Enter the max ponding depth above the filter.  This is typically 6 to 12 inches.  It is recommended that the ponding depth be at least 2" below the bioretention overflow elevation.  </t>
  </si>
  <si>
    <t xml:space="preserve">The minimum filter area is calculated here.  Pretreatment should also be provided.  Use the manufacturer's instructions to determine if other factors (e.g., expected sediment loading) will require an increased filter area. </t>
  </si>
  <si>
    <t>gpm (use orifice or other means to control rate)</t>
  </si>
  <si>
    <t>Base Area</t>
  </si>
  <si>
    <t>The volume of water treated by your trench or dry well design is shown here. If this volume is less than the required WQv then additional treatments will likely be required.</t>
  </si>
  <si>
    <t xml:space="preserve">Enter the desired drain time for the system.  Recommended drain time is between 24 to 48 hours. </t>
  </si>
  <si>
    <t>Enter the design length of your trench. For a Dry Well enter the design diameter, and skip Step 11.</t>
  </si>
  <si>
    <t xml:space="preserve">Enter the depths of the subsurface media layers. Layers include the bedding layer, transition (i.e., base) layer, and storage (i.e., subbase) layer.  Recommend using a 2" deep bedding layer and a 3 or 4" deep transition layer. The required depth of the underlying storage layer is calculated in Step 10. See the Permeable Pavement fact sheet for more information on the media layers. </t>
  </si>
  <si>
    <t>Freq. of FTE Toilet Use</t>
  </si>
  <si>
    <t>Freq. of Student/Visitor Toilet Use</t>
  </si>
  <si>
    <t>Freq. of Customer Toilet Use</t>
  </si>
  <si>
    <t>Volume per Flush</t>
  </si>
  <si>
    <t>gal/flush</t>
  </si>
  <si>
    <t>Recommend 0.8 for ultra low-flow, 1.1 for low-flow, 1.6 for conventional built post-1995, 3.05 for conventional existing facilities built in 1995 or earlier.</t>
  </si>
  <si>
    <t>Washing Machine Use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</si>
</sst>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0.0%"/>
    <numFmt numFmtId="168" formatCode="#,##0.0"/>
    <numFmt numFmtId="169" formatCode="&quot;$&quot;#,##0.00"/>
  </numFmts>
  <fonts count="48">
    <font>
      <sz val="10"/>
      <name val="Arial"/>
      <family val="2"/>
    </font>
    <font>
      <sz val="10"/>
      <color indexed="8"/>
      <name val="Arial"/>
      <family val="2"/>
    </font>
    <font>
      <b/>
      <sz val="10"/>
      <name val="Arial"/>
      <family val="2"/>
    </font>
    <font>
      <b/>
      <sz val="10"/>
      <color indexed="10"/>
      <name val="Arial"/>
      <family val="2"/>
    </font>
    <font>
      <b/>
      <sz val="10"/>
      <color indexed="48"/>
      <name val="Arial"/>
      <family val="2"/>
    </font>
    <font>
      <sz val="10"/>
      <color indexed="10"/>
      <name val="Arial"/>
      <family val="2"/>
    </font>
    <font>
      <sz val="12"/>
      <name val="Arial"/>
      <family val="2"/>
    </font>
    <font>
      <b/>
      <sz val="12"/>
      <name val="Arial"/>
      <family val="2"/>
    </font>
    <font>
      <sz val="10"/>
      <color indexed="48"/>
      <name val="Arial"/>
      <family val="2"/>
    </font>
    <font>
      <i/>
      <sz val="10"/>
      <name val="Arial"/>
      <family val="2"/>
    </font>
    <font>
      <u val="single"/>
      <sz val="10"/>
      <color indexed="12"/>
      <name val="Arial"/>
      <family val="2"/>
    </font>
    <font>
      <strike/>
      <sz val="10"/>
      <name val="Arial"/>
      <family val="2"/>
    </font>
    <font>
      <b/>
      <vertAlign val="superscript"/>
      <sz val="10"/>
      <name val="Arial"/>
      <family val="2"/>
    </font>
    <font>
      <vertAlign val="superscript"/>
      <sz val="10"/>
      <name val="Arial"/>
      <family val="2"/>
    </font>
    <font>
      <b/>
      <u val="single"/>
      <sz val="10"/>
      <name val="Arial"/>
      <family val="2"/>
    </font>
    <font>
      <vertAlign val="subscript"/>
      <sz val="10"/>
      <name val="Arial"/>
      <family val="2"/>
    </font>
    <font>
      <i/>
      <vertAlign val="subscript"/>
      <sz val="10"/>
      <name val="Arial"/>
      <family val="2"/>
    </font>
    <font>
      <b/>
      <sz val="9"/>
      <name val="Arial"/>
      <family val="2"/>
    </font>
    <font>
      <b/>
      <vertAlign val="subscript"/>
      <sz val="10"/>
      <name val="Arial"/>
      <family val="2"/>
    </font>
    <font>
      <i/>
      <u val="single"/>
      <sz val="10"/>
      <name val="Arial"/>
      <family val="2"/>
    </font>
    <font>
      <i/>
      <sz val="12"/>
      <name val="Times New Roman"/>
      <family val="1"/>
    </font>
    <font>
      <sz val="12"/>
      <name val="Times New Roman"/>
      <family val="1"/>
    </font>
    <font>
      <b/>
      <i/>
      <sz val="10"/>
      <name val="Arial"/>
      <family val="2"/>
    </font>
    <font>
      <b/>
      <sz val="10"/>
      <color indexed="8"/>
      <name val="Arial"/>
      <family val="2"/>
    </font>
    <font>
      <sz val="10"/>
      <color indexed="9"/>
      <name val="Arial"/>
      <family val="2"/>
    </font>
    <font>
      <b/>
      <sz val="10"/>
      <color indexed="9"/>
      <name val="Arial"/>
      <family val="2"/>
    </font>
    <font>
      <sz val="8"/>
      <name val="Verdana"/>
      <family val="2"/>
    </font>
    <font>
      <sz val="10"/>
      <name val="Verdana"/>
      <family val="2"/>
    </font>
    <font>
      <sz val="8"/>
      <name val="Arial"/>
      <family val="2"/>
    </font>
    <font>
      <sz val="8"/>
      <color indexed="8"/>
      <name val="Arial"/>
      <family val="0"/>
    </font>
    <font>
      <sz val="3.05"/>
      <color indexed="8"/>
      <name val="Arial"/>
      <family val="0"/>
    </font>
    <font>
      <sz val="2.8"/>
      <color indexed="8"/>
      <name val="Arial"/>
      <family val="0"/>
    </font>
    <font>
      <u val="single"/>
      <sz val="10"/>
      <color indexed="36"/>
      <name val="Arial"/>
      <family val="2"/>
    </font>
    <font>
      <sz val="10"/>
      <color indexed="14"/>
      <name val="Arial"/>
      <family val="2"/>
    </font>
    <font>
      <b/>
      <sz val="10"/>
      <color indexed="52"/>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62"/>
      <name val="Cambria"/>
      <family val="2"/>
    </font>
    <font>
      <b/>
      <sz val="8"/>
      <color indexed="8"/>
      <name val="Arial"/>
      <family val="0"/>
    </font>
    <font>
      <b/>
      <sz val="9.25"/>
      <color indexed="8"/>
      <name val="Arial"/>
      <family val="0"/>
    </font>
    <font>
      <b/>
      <sz val="9"/>
      <color indexed="8"/>
      <name val="Arial"/>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13"/>
        <bgColor indexed="64"/>
      </patternFill>
    </fill>
    <fill>
      <patternFill patternType="solid">
        <fgColor indexed="22"/>
        <bgColor indexed="64"/>
      </patternFill>
    </fill>
  </fills>
  <borders count="9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medium"/>
      <right/>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thin"/>
      <top/>
      <bottom/>
    </border>
    <border>
      <left/>
      <right/>
      <top style="medium"/>
      <bottom/>
    </border>
    <border>
      <left/>
      <right style="medium"/>
      <top style="medium"/>
      <bottom/>
    </border>
    <border>
      <left/>
      <right/>
      <top style="medium"/>
      <bottom style="medium"/>
    </border>
    <border>
      <left style="medium"/>
      <right/>
      <top style="medium"/>
      <bottom style="medium"/>
    </border>
    <border>
      <left style="thin"/>
      <right/>
      <top/>
      <bottom style="double"/>
    </border>
    <border>
      <left/>
      <right style="thin"/>
      <top/>
      <bottom style="double"/>
    </border>
    <border>
      <left/>
      <right/>
      <top/>
      <bottom style="double"/>
    </border>
    <border>
      <left style="thin"/>
      <right/>
      <top/>
      <bottom/>
    </border>
    <border>
      <left style="medium"/>
      <right style="medium"/>
      <top style="medium"/>
      <bottom style="medium"/>
    </border>
    <border>
      <left/>
      <right style="medium"/>
      <top style="medium"/>
      <bottom style="medium"/>
    </border>
    <border>
      <left style="thin"/>
      <right style="thin"/>
      <top/>
      <bottom/>
    </border>
    <border>
      <left style="thin"/>
      <right style="thin"/>
      <top style="medium"/>
      <bottom/>
    </border>
    <border>
      <left style="thin"/>
      <right style="thin"/>
      <top style="medium"/>
      <bottom style="medium"/>
    </border>
    <border>
      <left style="thin"/>
      <right style="thin"/>
      <top/>
      <bottom style="medium"/>
    </border>
    <border>
      <left/>
      <right/>
      <top style="double"/>
      <bottom/>
    </border>
    <border>
      <left/>
      <right style="medium"/>
      <top style="double"/>
      <bottom/>
    </border>
    <border>
      <left style="medium"/>
      <right/>
      <top style="double"/>
      <bottom/>
    </border>
    <border>
      <left style="medium"/>
      <right/>
      <top style="medium"/>
      <bottom style="thin"/>
    </border>
    <border>
      <left/>
      <right/>
      <top style="medium"/>
      <bottom style="thin"/>
    </border>
    <border>
      <left style="medium"/>
      <right style="medium"/>
      <top style="medium"/>
      <bottom style="thin"/>
    </border>
    <border>
      <left style="medium"/>
      <right style="medium"/>
      <top/>
      <bottom/>
    </border>
    <border>
      <left style="medium"/>
      <right style="medium"/>
      <top/>
      <bottom style="medium"/>
    </border>
    <border>
      <left style="medium"/>
      <right style="thin"/>
      <top/>
      <bottom/>
    </border>
    <border>
      <left style="medium"/>
      <right style="thin"/>
      <top/>
      <bottom style="medium"/>
    </border>
    <border>
      <left style="medium"/>
      <right style="medium"/>
      <top style="medium"/>
      <bottom/>
    </border>
    <border>
      <left style="thin"/>
      <right style="thin"/>
      <top style="thin"/>
      <bottom/>
    </border>
    <border>
      <left style="thin"/>
      <right/>
      <top style="thin"/>
      <bottom/>
    </border>
    <border>
      <left style="thin"/>
      <right/>
      <top/>
      <bottom style="medium"/>
    </border>
    <border>
      <left/>
      <right/>
      <top style="thin"/>
      <bottom/>
    </border>
    <border>
      <left style="thin"/>
      <right style="thin"/>
      <top style="thin"/>
      <bottom style="thin"/>
    </border>
    <border>
      <left style="thin"/>
      <right/>
      <top style="thin"/>
      <bottom style="thin"/>
    </border>
    <border>
      <left style="thin"/>
      <right style="thin"/>
      <top/>
      <bottom style="thin"/>
    </border>
    <border>
      <left style="thin"/>
      <right style="thin"/>
      <top/>
      <bottom style="hair"/>
    </border>
    <border>
      <left style="thin"/>
      <right/>
      <top/>
      <bottom style="hair"/>
    </border>
    <border>
      <left style="thin"/>
      <right/>
      <top/>
      <bottom style="thin"/>
    </border>
    <border>
      <left/>
      <right style="thin"/>
      <top style="thin"/>
      <bottom/>
    </border>
    <border>
      <left style="medium"/>
      <right style="thin"/>
      <top style="medium"/>
      <bottom/>
    </border>
    <border>
      <left/>
      <right style="medium"/>
      <top style="thin"/>
      <bottom/>
    </border>
    <border>
      <left/>
      <right style="thin"/>
      <top/>
      <bottom style="medium"/>
    </border>
    <border>
      <left style="medium"/>
      <right/>
      <top style="medium"/>
      <bottom style="double"/>
    </border>
    <border>
      <left/>
      <right/>
      <top style="medium"/>
      <bottom style="double"/>
    </border>
    <border>
      <left/>
      <right style="medium"/>
      <top style="medium"/>
      <bottom style="double"/>
    </border>
    <border>
      <left style="thin"/>
      <right style="medium"/>
      <top/>
      <bottom/>
    </border>
    <border>
      <left style="thin"/>
      <right/>
      <top style="double"/>
      <bottom/>
    </border>
    <border>
      <left style="thin"/>
      <right style="medium"/>
      <top style="double"/>
      <bottom/>
    </border>
    <border>
      <left/>
      <right/>
      <top/>
      <bottom style="thin"/>
    </border>
    <border>
      <left style="thin"/>
      <right style="medium"/>
      <top/>
      <bottom style="thin"/>
    </border>
    <border>
      <left style="medium"/>
      <right/>
      <top/>
      <bottom style="double"/>
    </border>
    <border>
      <left/>
      <right style="medium"/>
      <top/>
      <bottom style="double"/>
    </border>
    <border>
      <left style="medium"/>
      <right style="medium"/>
      <top/>
      <bottom style="double"/>
    </border>
    <border>
      <left/>
      <right style="double"/>
      <top style="medium"/>
      <bottom/>
    </border>
    <border>
      <left style="thin"/>
      <right style="thin"/>
      <top style="medium"/>
      <bottom style="double"/>
    </border>
    <border>
      <left style="thin"/>
      <right style="medium"/>
      <top style="medium"/>
      <bottom style="double"/>
    </border>
    <border>
      <left style="thin"/>
      <right/>
      <top style="medium"/>
      <bottom style="double"/>
    </border>
    <border>
      <left style="medium"/>
      <right/>
      <top/>
      <bottom style="thin"/>
    </border>
    <border>
      <left/>
      <right style="thin"/>
      <top/>
      <bottom style="thin"/>
    </border>
    <border>
      <left style="thin"/>
      <right style="medium"/>
      <top/>
      <bottom style="double"/>
    </border>
    <border>
      <left style="thin"/>
      <right style="thin"/>
      <top/>
      <bottom style="double"/>
    </border>
    <border>
      <left style="thin"/>
      <right style="medium"/>
      <top/>
      <bottom style="medium"/>
    </border>
    <border>
      <left/>
      <right/>
      <top style="thin"/>
      <bottom style="medium"/>
    </border>
    <border>
      <left style="thin"/>
      <right style="thin"/>
      <top style="thin"/>
      <bottom style="medium"/>
    </border>
    <border>
      <left/>
      <right style="thin"/>
      <top/>
      <bottom style="hair"/>
    </border>
    <border>
      <left/>
      <right style="medium"/>
      <top/>
      <bottom style="thin"/>
    </border>
    <border>
      <left style="medium"/>
      <right style="thin"/>
      <top/>
      <bottom style="double"/>
    </border>
    <border>
      <left style="thin"/>
      <right>
        <color indexed="63"/>
      </right>
      <top/>
      <bottom>
        <color indexed="63"/>
      </bottom>
    </border>
    <border>
      <left style="double"/>
      <right/>
      <top style="medium"/>
      <bottom style="medium"/>
    </border>
    <border>
      <left/>
      <right style="medium">
        <color indexed="8"/>
      </right>
      <top style="medium"/>
      <bottom style="medium"/>
    </border>
    <border>
      <left>
        <color indexed="63"/>
      </left>
      <right style="medium"/>
      <top/>
      <bottom>
        <color indexed="63"/>
      </bottom>
    </border>
    <border>
      <left style="thin"/>
      <right>
        <color indexed="63"/>
      </right>
      <top style="medium"/>
      <bottom/>
    </border>
    <border>
      <left>
        <color indexed="63"/>
      </left>
      <right>
        <color indexed="63"/>
      </right>
      <top style="medium"/>
      <bottom/>
    </border>
    <border>
      <left>
        <color indexed="63"/>
      </left>
      <right style="medium"/>
      <top style="medium"/>
      <bottom/>
    </border>
    <border>
      <left style="medium"/>
      <right>
        <color indexed="63"/>
      </right>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4" fillId="10"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6" borderId="0" applyNumberFormat="0" applyBorder="0" applyAlignment="0" applyProtection="0"/>
    <xf numFmtId="0" fontId="24" fillId="10" borderId="0" applyNumberFormat="0" applyBorder="0" applyAlignment="0" applyProtection="0"/>
    <xf numFmtId="0" fontId="24" fillId="3"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33" fillId="14" borderId="0" applyNumberFormat="0" applyBorder="0" applyAlignment="0" applyProtection="0"/>
    <xf numFmtId="0" fontId="34" fillId="2" borderId="1" applyNumberFormat="0" applyAlignment="0" applyProtection="0"/>
    <xf numFmtId="0" fontId="25"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2" fillId="0" borderId="0" applyNumberFormat="0" applyFill="0" applyBorder="0" applyAlignment="0" applyProtection="0"/>
    <xf numFmtId="0" fontId="36" fillId="16"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0" fillId="0" borderId="0" applyNumberFormat="0" applyFill="0" applyBorder="0" applyAlignment="0" applyProtection="0"/>
    <xf numFmtId="0" fontId="40" fillId="3" borderId="1" applyNumberFormat="0" applyAlignment="0" applyProtection="0"/>
    <xf numFmtId="0" fontId="41" fillId="0" borderId="6" applyNumberFormat="0" applyFill="0" applyAlignment="0" applyProtection="0"/>
    <xf numFmtId="0" fontId="42" fillId="8" borderId="0" applyNumberFormat="0" applyBorder="0" applyAlignment="0" applyProtection="0"/>
    <xf numFmtId="0" fontId="0" fillId="4" borderId="7" applyNumberFormat="0" applyFont="0" applyAlignment="0" applyProtection="0"/>
    <xf numFmtId="0" fontId="43" fillId="2"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23" fillId="0" borderId="9" applyNumberFormat="0" applyFill="0" applyAlignment="0" applyProtection="0"/>
    <xf numFmtId="0" fontId="5" fillId="0" borderId="0" applyNumberFormat="0" applyFill="0" applyBorder="0" applyAlignment="0" applyProtection="0"/>
  </cellStyleXfs>
  <cellXfs count="765">
    <xf numFmtId="0" fontId="0" fillId="0" borderId="0" xfId="0" applyAlignment="1">
      <alignment/>
    </xf>
    <xf numFmtId="0" fontId="2" fillId="0" borderId="0" xfId="0" applyFont="1" applyAlignment="1">
      <alignment/>
    </xf>
    <xf numFmtId="0" fontId="0" fillId="0" borderId="0" xfId="0" applyFill="1" applyBorder="1" applyAlignment="1">
      <alignment/>
    </xf>
    <xf numFmtId="0" fontId="0" fillId="0" borderId="0" xfId="0" applyFill="1" applyAlignment="1">
      <alignment/>
    </xf>
    <xf numFmtId="0" fontId="2" fillId="0" borderId="0" xfId="0" applyFont="1" applyFill="1" applyBorder="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2" fillId="0" borderId="0" xfId="0" applyFont="1" applyAlignment="1">
      <alignment/>
    </xf>
    <xf numFmtId="0" fontId="0" fillId="6" borderId="0" xfId="0" applyFill="1" applyAlignment="1">
      <alignment/>
    </xf>
    <xf numFmtId="0" fontId="0" fillId="6" borderId="16" xfId="0" applyFill="1" applyBorder="1" applyAlignment="1">
      <alignment/>
    </xf>
    <xf numFmtId="0" fontId="0" fillId="0" borderId="17" xfId="0" applyBorder="1" applyAlignment="1">
      <alignment/>
    </xf>
    <xf numFmtId="0" fontId="0" fillId="0" borderId="18" xfId="0" applyBorder="1" applyAlignment="1">
      <alignment/>
    </xf>
    <xf numFmtId="0" fontId="0" fillId="0" borderId="13" xfId="0" applyFill="1" applyBorder="1" applyAlignment="1">
      <alignment/>
    </xf>
    <xf numFmtId="0" fontId="0" fillId="0" borderId="19" xfId="0" applyBorder="1" applyAlignment="1">
      <alignment/>
    </xf>
    <xf numFmtId="0" fontId="0" fillId="0" borderId="12" xfId="0" applyFill="1" applyBorder="1" applyAlignment="1">
      <alignment/>
    </xf>
    <xf numFmtId="0" fontId="4" fillId="0" borderId="0" xfId="0" applyFont="1" applyFill="1" applyBorder="1" applyAlignment="1">
      <alignment/>
    </xf>
    <xf numFmtId="0" fontId="0" fillId="0" borderId="20" xfId="0" applyFill="1" applyBorder="1" applyAlignment="1">
      <alignment/>
    </xf>
    <xf numFmtId="0" fontId="2" fillId="0" borderId="0" xfId="0" applyFont="1" applyFill="1" applyAlignment="1">
      <alignment horizontal="right"/>
    </xf>
    <xf numFmtId="0" fontId="2" fillId="0" borderId="0" xfId="0" applyFont="1" applyFill="1" applyAlignment="1">
      <alignment/>
    </xf>
    <xf numFmtId="0" fontId="2" fillId="6" borderId="16" xfId="0" applyFont="1" applyFill="1" applyBorder="1" applyAlignment="1">
      <alignment horizontal="center"/>
    </xf>
    <xf numFmtId="9" fontId="2" fillId="6" borderId="21" xfId="0" applyNumberFormat="1" applyFont="1" applyFill="1" applyBorder="1" applyAlignment="1">
      <alignment horizontal="center"/>
    </xf>
    <xf numFmtId="9" fontId="2" fillId="6" borderId="22" xfId="0" applyNumberFormat="1" applyFont="1" applyFill="1" applyBorder="1" applyAlignment="1">
      <alignment horizontal="center"/>
    </xf>
    <xf numFmtId="9" fontId="2" fillId="6" borderId="23" xfId="0" applyNumberFormat="1" applyFont="1" applyFill="1" applyBorder="1" applyAlignment="1">
      <alignment horizontal="center"/>
    </xf>
    <xf numFmtId="0" fontId="0" fillId="6" borderId="24" xfId="0" applyFill="1" applyBorder="1" applyAlignment="1">
      <alignment horizontal="right"/>
    </xf>
    <xf numFmtId="0" fontId="0" fillId="6" borderId="24" xfId="0" applyFill="1" applyBorder="1" applyAlignment="1">
      <alignment/>
    </xf>
    <xf numFmtId="0" fontId="2" fillId="6" borderId="0" xfId="0" applyFont="1" applyFill="1" applyAlignment="1" quotePrefix="1">
      <alignment horizontal="center"/>
    </xf>
    <xf numFmtId="0" fontId="2" fillId="6" borderId="22" xfId="0" applyFont="1" applyFill="1" applyBorder="1" applyAlignment="1">
      <alignment horizontal="center"/>
    </xf>
    <xf numFmtId="0" fontId="0" fillId="0" borderId="0" xfId="0" applyFont="1" applyAlignment="1">
      <alignment/>
    </xf>
    <xf numFmtId="0" fontId="0" fillId="0" borderId="18" xfId="0" applyFill="1" applyBorder="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Alignment="1">
      <alignment horizontal="center"/>
    </xf>
    <xf numFmtId="0" fontId="6" fillId="0" borderId="0" xfId="0" applyFont="1" applyAlignment="1">
      <alignment/>
    </xf>
    <xf numFmtId="0" fontId="7" fillId="0" borderId="0" xfId="0" applyFont="1" applyAlignment="1">
      <alignment/>
    </xf>
    <xf numFmtId="0" fontId="7" fillId="0" borderId="0" xfId="0" applyFont="1" applyAlignment="1">
      <alignment/>
    </xf>
    <xf numFmtId="0" fontId="8" fillId="0" borderId="0" xfId="0" applyFont="1" applyAlignment="1">
      <alignment/>
    </xf>
    <xf numFmtId="1" fontId="0" fillId="0" borderId="0" xfId="0" applyNumberFormat="1" applyFill="1" applyBorder="1" applyAlignment="1">
      <alignment/>
    </xf>
    <xf numFmtId="0" fontId="9" fillId="0" borderId="0" xfId="0" applyFont="1" applyAlignment="1">
      <alignment/>
    </xf>
    <xf numFmtId="0" fontId="0" fillId="0" borderId="15" xfId="0" applyFill="1" applyBorder="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11" xfId="0" applyFill="1" applyBorder="1" applyAlignment="1">
      <alignment/>
    </xf>
    <xf numFmtId="0" fontId="0" fillId="0" borderId="10" xfId="0" applyFill="1" applyBorder="1" applyAlignment="1">
      <alignment/>
    </xf>
    <xf numFmtId="0" fontId="0" fillId="0" borderId="0" xfId="0" applyAlignment="1">
      <alignment horizontal="right"/>
    </xf>
    <xf numFmtId="3" fontId="0" fillId="0" borderId="0" xfId="0" applyNumberFormat="1" applyAlignment="1">
      <alignment/>
    </xf>
    <xf numFmtId="0" fontId="0" fillId="0" borderId="14" xfId="0" applyFill="1" applyBorder="1" applyAlignment="1">
      <alignment/>
    </xf>
    <xf numFmtId="0" fontId="3" fillId="0" borderId="13" xfId="0" applyFont="1" applyFill="1" applyBorder="1" applyAlignment="1">
      <alignment/>
    </xf>
    <xf numFmtId="0" fontId="0" fillId="0" borderId="0" xfId="0" applyFill="1" applyBorder="1" applyAlignment="1">
      <alignment horizontal="right"/>
    </xf>
    <xf numFmtId="0" fontId="7" fillId="0" borderId="0" xfId="0" applyFont="1" applyAlignment="1">
      <alignment horizontal="center"/>
    </xf>
    <xf numFmtId="0" fontId="2" fillId="0" borderId="0" xfId="0" applyFont="1" applyAlignment="1">
      <alignment horizontal="center"/>
    </xf>
    <xf numFmtId="0" fontId="2" fillId="17" borderId="25" xfId="0" applyFont="1" applyFill="1" applyBorder="1" applyAlignment="1">
      <alignment horizontal="center"/>
    </xf>
    <xf numFmtId="0" fontId="0" fillId="0" borderId="0" xfId="0" applyFont="1" applyAlignment="1">
      <alignment horizontal="center"/>
    </xf>
    <xf numFmtId="165" fontId="2" fillId="0" borderId="0" xfId="0" applyNumberFormat="1" applyFont="1" applyAlignment="1">
      <alignment horizontal="center"/>
    </xf>
    <xf numFmtId="2" fontId="0" fillId="0" borderId="0" xfId="0" applyNumberFormat="1" applyAlignment="1">
      <alignment horizontal="center"/>
    </xf>
    <xf numFmtId="2" fontId="3" fillId="0" borderId="0" xfId="0" applyNumberFormat="1" applyFont="1" applyAlignment="1">
      <alignment horizontal="center"/>
    </xf>
    <xf numFmtId="164" fontId="0" fillId="0" borderId="0" xfId="0" applyNumberFormat="1" applyAlignment="1">
      <alignment horizontal="center"/>
    </xf>
    <xf numFmtId="165" fontId="0" fillId="0" borderId="0" xfId="0" applyNumberFormat="1" applyAlignment="1">
      <alignment horizontal="center"/>
    </xf>
    <xf numFmtId="0" fontId="0" fillId="0" borderId="0" xfId="0" applyFill="1" applyBorder="1" applyAlignment="1">
      <alignment horizontal="center"/>
    </xf>
    <xf numFmtId="0" fontId="11" fillId="0" borderId="0" xfId="0" applyFont="1" applyAlignment="1">
      <alignment/>
    </xf>
    <xf numFmtId="0" fontId="0" fillId="0" borderId="0" xfId="0" applyFont="1" applyBorder="1" applyAlignment="1">
      <alignment/>
    </xf>
    <xf numFmtId="0" fontId="0" fillId="0" borderId="0" xfId="0" applyAlignment="1">
      <alignment vertical="top" wrapText="1"/>
    </xf>
    <xf numFmtId="3" fontId="0" fillId="0" borderId="0" xfId="0" applyNumberFormat="1" applyFill="1" applyBorder="1" applyAlignment="1">
      <alignment/>
    </xf>
    <xf numFmtId="0" fontId="0" fillId="0" borderId="26" xfId="0" applyFill="1" applyBorder="1" applyAlignment="1">
      <alignment/>
    </xf>
    <xf numFmtId="0" fontId="0" fillId="0" borderId="0" xfId="0" applyFont="1" applyAlignment="1">
      <alignment horizontal="right"/>
    </xf>
    <xf numFmtId="0" fontId="1" fillId="0" borderId="0" xfId="0" applyFont="1" applyAlignment="1">
      <alignment/>
    </xf>
    <xf numFmtId="0" fontId="23" fillId="0" borderId="0" xfId="0" applyFont="1" applyAlignment="1">
      <alignment/>
    </xf>
    <xf numFmtId="0" fontId="0" fillId="0" borderId="11" xfId="0" applyFont="1" applyBorder="1" applyAlignment="1">
      <alignment/>
    </xf>
    <xf numFmtId="0" fontId="0" fillId="0" borderId="12" xfId="0" applyFont="1" applyBorder="1" applyAlignment="1">
      <alignment/>
    </xf>
    <xf numFmtId="0" fontId="0" fillId="0" borderId="12" xfId="0" applyFont="1" applyFill="1" applyBorder="1" applyAlignment="1">
      <alignment/>
    </xf>
    <xf numFmtId="0" fontId="2" fillId="9" borderId="0" xfId="0" applyFont="1" applyFill="1" applyAlignment="1">
      <alignment/>
    </xf>
    <xf numFmtId="0" fontId="0" fillId="9" borderId="0" xfId="0" applyFill="1" applyAlignment="1">
      <alignment/>
    </xf>
    <xf numFmtId="0" fontId="0" fillId="6" borderId="27" xfId="0" applyFill="1" applyBorder="1" applyAlignment="1">
      <alignment/>
    </xf>
    <xf numFmtId="0" fontId="0" fillId="0" borderId="27" xfId="0" applyFill="1" applyBorder="1" applyAlignment="1">
      <alignment/>
    </xf>
    <xf numFmtId="0" fontId="0" fillId="0" borderId="10" xfId="0" applyFont="1" applyBorder="1" applyAlignment="1">
      <alignment/>
    </xf>
    <xf numFmtId="0" fontId="0" fillId="0" borderId="0" xfId="0" applyFont="1" applyAlignment="1">
      <alignment vertical="center"/>
    </xf>
    <xf numFmtId="166" fontId="0" fillId="8" borderId="28" xfId="0" applyNumberFormat="1" applyFill="1" applyBorder="1" applyAlignment="1">
      <alignment/>
    </xf>
    <xf numFmtId="0" fontId="0" fillId="0" borderId="28" xfId="0" applyFill="1" applyBorder="1" applyAlignment="1">
      <alignment/>
    </xf>
    <xf numFmtId="0" fontId="0" fillId="0" borderId="17" xfId="0" applyFill="1" applyBorder="1" applyAlignment="1">
      <alignment/>
    </xf>
    <xf numFmtId="0" fontId="0" fillId="0" borderId="11" xfId="0" applyFont="1" applyFill="1" applyBorder="1" applyAlignment="1">
      <alignment/>
    </xf>
    <xf numFmtId="0" fontId="0" fillId="0" borderId="19" xfId="0" applyFill="1" applyBorder="1" applyAlignment="1">
      <alignment/>
    </xf>
    <xf numFmtId="0" fontId="0" fillId="8" borderId="28" xfId="0" applyFill="1" applyBorder="1" applyAlignment="1">
      <alignment/>
    </xf>
    <xf numFmtId="0" fontId="0" fillId="8" borderId="12" xfId="0" applyFill="1" applyBorder="1" applyAlignment="1">
      <alignment/>
    </xf>
    <xf numFmtId="0" fontId="0" fillId="8" borderId="11" xfId="0" applyFill="1" applyBorder="1" applyAlignment="1">
      <alignment/>
    </xf>
    <xf numFmtId="0" fontId="0" fillId="8" borderId="13" xfId="0" applyFill="1" applyBorder="1" applyAlignment="1">
      <alignment/>
    </xf>
    <xf numFmtId="0" fontId="0" fillId="8" borderId="15" xfId="0" applyFill="1" applyBorder="1" applyAlignment="1">
      <alignment/>
    </xf>
    <xf numFmtId="3" fontId="2" fillId="8" borderId="29" xfId="0" applyNumberFormat="1" applyFont="1" applyFill="1" applyBorder="1" applyAlignment="1">
      <alignment/>
    </xf>
    <xf numFmtId="166" fontId="2" fillId="8" borderId="27" xfId="0" applyNumberFormat="1" applyFont="1" applyFill="1" applyBorder="1" applyAlignment="1">
      <alignment/>
    </xf>
    <xf numFmtId="0" fontId="2" fillId="8" borderId="27" xfId="0" applyFont="1" applyFill="1" applyBorder="1" applyAlignment="1">
      <alignment/>
    </xf>
    <xf numFmtId="1" fontId="2" fillId="8" borderId="30" xfId="0" applyNumberFormat="1" applyFont="1" applyFill="1" applyBorder="1" applyAlignment="1">
      <alignment/>
    </xf>
    <xf numFmtId="166" fontId="2" fillId="8" borderId="29" xfId="0" applyNumberFormat="1" applyFont="1" applyFill="1" applyBorder="1" applyAlignment="1">
      <alignment/>
    </xf>
    <xf numFmtId="0" fontId="0" fillId="0" borderId="10" xfId="0" applyFont="1" applyFill="1" applyBorder="1" applyAlignment="1">
      <alignment/>
    </xf>
    <xf numFmtId="0" fontId="2" fillId="0" borderId="20" xfId="0" applyFont="1" applyFill="1" applyBorder="1" applyAlignment="1">
      <alignment/>
    </xf>
    <xf numFmtId="165" fontId="0" fillId="8" borderId="31" xfId="0" applyNumberFormat="1" applyFill="1" applyBorder="1" applyAlignment="1">
      <alignment horizontal="center"/>
    </xf>
    <xf numFmtId="0" fontId="0" fillId="8" borderId="32" xfId="0" applyFill="1" applyBorder="1" applyAlignment="1">
      <alignment/>
    </xf>
    <xf numFmtId="0" fontId="0" fillId="8" borderId="33" xfId="0" applyFill="1" applyBorder="1" applyAlignment="1">
      <alignment/>
    </xf>
    <xf numFmtId="1" fontId="0" fillId="8" borderId="31" xfId="0" applyNumberFormat="1" applyFill="1" applyBorder="1" applyAlignment="1">
      <alignment horizontal="center"/>
    </xf>
    <xf numFmtId="165" fontId="0" fillId="8" borderId="0" xfId="0" applyNumberFormat="1" applyFill="1" applyBorder="1" applyAlignment="1">
      <alignment horizontal="center"/>
    </xf>
    <xf numFmtId="1" fontId="0" fillId="8" borderId="0" xfId="0" applyNumberFormat="1" applyFill="1" applyBorder="1" applyAlignment="1">
      <alignment horizontal="center"/>
    </xf>
    <xf numFmtId="165" fontId="0" fillId="8" borderId="14" xfId="0" applyNumberFormat="1" applyFill="1" applyBorder="1" applyAlignment="1">
      <alignment horizontal="center"/>
    </xf>
    <xf numFmtId="1" fontId="0" fillId="8" borderId="14" xfId="0" applyNumberFormat="1" applyFill="1" applyBorder="1" applyAlignment="1">
      <alignment horizontal="center"/>
    </xf>
    <xf numFmtId="0" fontId="2" fillId="2" borderId="13" xfId="0" applyFont="1" applyFill="1" applyBorder="1" applyAlignment="1">
      <alignment/>
    </xf>
    <xf numFmtId="0" fontId="2" fillId="9" borderId="25" xfId="0" applyFont="1" applyFill="1" applyBorder="1" applyAlignment="1">
      <alignment/>
    </xf>
    <xf numFmtId="0" fontId="2" fillId="9" borderId="25" xfId="0" applyFont="1" applyFill="1" applyBorder="1" applyAlignment="1">
      <alignment horizontal="center"/>
    </xf>
    <xf numFmtId="1" fontId="0" fillId="8" borderId="11" xfId="0" applyNumberFormat="1" applyFill="1" applyBorder="1" applyAlignment="1">
      <alignment/>
    </xf>
    <xf numFmtId="1" fontId="0" fillId="8" borderId="13" xfId="0" applyNumberFormat="1" applyFill="1" applyBorder="1" applyAlignment="1">
      <alignment/>
    </xf>
    <xf numFmtId="0" fontId="3" fillId="2" borderId="0" xfId="0" applyFont="1" applyFill="1" applyBorder="1" applyAlignment="1">
      <alignment/>
    </xf>
    <xf numFmtId="0" fontId="3" fillId="2" borderId="14" xfId="0" applyFont="1" applyFill="1" applyBorder="1" applyAlignment="1">
      <alignment/>
    </xf>
    <xf numFmtId="0" fontId="0" fillId="0" borderId="34" xfId="0" applyBorder="1" applyAlignment="1">
      <alignment/>
    </xf>
    <xf numFmtId="0" fontId="2" fillId="2" borderId="35" xfId="0" applyFont="1" applyFill="1" applyBorder="1" applyAlignment="1">
      <alignment/>
    </xf>
    <xf numFmtId="0" fontId="0" fillId="8" borderId="36" xfId="0" applyFont="1" applyFill="1" applyBorder="1" applyAlignment="1">
      <alignment/>
    </xf>
    <xf numFmtId="0" fontId="3" fillId="8" borderId="37" xfId="0" applyFont="1" applyFill="1" applyBorder="1" applyAlignment="1">
      <alignment/>
    </xf>
    <xf numFmtId="0" fontId="3" fillId="8" borderId="38" xfId="0" applyFont="1" applyFill="1" applyBorder="1" applyAlignment="1">
      <alignment/>
    </xf>
    <xf numFmtId="1" fontId="3" fillId="8" borderId="30" xfId="0" applyNumberFormat="1" applyFont="1" applyFill="1" applyBorder="1" applyAlignment="1">
      <alignment horizontal="left"/>
    </xf>
    <xf numFmtId="0" fontId="2" fillId="9" borderId="20" xfId="0" applyFont="1" applyFill="1" applyBorder="1" applyAlignment="1">
      <alignment horizontal="centerContinuous"/>
    </xf>
    <xf numFmtId="0" fontId="2" fillId="9" borderId="19" xfId="0" applyFont="1" applyFill="1" applyBorder="1" applyAlignment="1">
      <alignment horizontal="centerContinuous"/>
    </xf>
    <xf numFmtId="0" fontId="2" fillId="9" borderId="26" xfId="0" applyFont="1" applyFill="1" applyBorder="1" applyAlignment="1">
      <alignment horizontal="centerContinuous"/>
    </xf>
    <xf numFmtId="0" fontId="0" fillId="0" borderId="0" xfId="0" applyFont="1" applyAlignment="1">
      <alignment horizontal="right" vertical="top"/>
    </xf>
    <xf numFmtId="0" fontId="0" fillId="0" borderId="18" xfId="0" applyFont="1" applyBorder="1" applyAlignment="1">
      <alignment/>
    </xf>
    <xf numFmtId="0" fontId="0" fillId="0" borderId="15" xfId="0" applyFont="1" applyBorder="1" applyAlignment="1">
      <alignment/>
    </xf>
    <xf numFmtId="0" fontId="0" fillId="0" borderId="0" xfId="0" applyFont="1" applyFill="1" applyBorder="1" applyAlignment="1">
      <alignment/>
    </xf>
    <xf numFmtId="0" fontId="0" fillId="0" borderId="13" xfId="0" applyFont="1" applyFill="1" applyBorder="1" applyAlignment="1">
      <alignment/>
    </xf>
    <xf numFmtId="0" fontId="0" fillId="0" borderId="15" xfId="0" applyFont="1" applyFill="1" applyBorder="1" applyAlignment="1">
      <alignment/>
    </xf>
    <xf numFmtId="0" fontId="0" fillId="0" borderId="28" xfId="0" applyBorder="1" applyAlignment="1">
      <alignment/>
    </xf>
    <xf numFmtId="0" fontId="0" fillId="0" borderId="27" xfId="0" applyBorder="1" applyAlignment="1">
      <alignment/>
    </xf>
    <xf numFmtId="0" fontId="2" fillId="8" borderId="30" xfId="0" applyFont="1" applyFill="1" applyBorder="1" applyAlignment="1">
      <alignment horizontal="right"/>
    </xf>
    <xf numFmtId="0" fontId="0" fillId="0" borderId="19" xfId="0" applyFont="1" applyBorder="1" applyAlignment="1">
      <alignment/>
    </xf>
    <xf numFmtId="0" fontId="0" fillId="0" borderId="19" xfId="0" applyBorder="1" applyAlignment="1">
      <alignment horizontal="right"/>
    </xf>
    <xf numFmtId="3" fontId="0" fillId="0" borderId="27" xfId="0" applyNumberFormat="1" applyBorder="1" applyAlignment="1">
      <alignment/>
    </xf>
    <xf numFmtId="3" fontId="2" fillId="8" borderId="28" xfId="0" applyNumberFormat="1" applyFont="1" applyFill="1" applyBorder="1" applyAlignment="1">
      <alignment/>
    </xf>
    <xf numFmtId="9" fontId="0" fillId="8" borderId="30" xfId="0" applyNumberFormat="1" applyFill="1" applyBorder="1" applyAlignment="1">
      <alignment/>
    </xf>
    <xf numFmtId="1" fontId="0" fillId="8" borderId="28" xfId="0" applyNumberFormat="1" applyFill="1" applyBorder="1" applyAlignment="1">
      <alignment horizontal="right"/>
    </xf>
    <xf numFmtId="0" fontId="4" fillId="0" borderId="10" xfId="0" applyFont="1" applyFill="1" applyBorder="1" applyAlignment="1">
      <alignment/>
    </xf>
    <xf numFmtId="0" fontId="0" fillId="8" borderId="12" xfId="0" applyFill="1" applyBorder="1" applyAlignment="1">
      <alignment horizontal="left"/>
    </xf>
    <xf numFmtId="0" fontId="0" fillId="8" borderId="15" xfId="0" applyFill="1" applyBorder="1" applyAlignment="1">
      <alignment horizontal="left"/>
    </xf>
    <xf numFmtId="0" fontId="0" fillId="8" borderId="32" xfId="0" applyFill="1" applyBorder="1" applyAlignment="1">
      <alignment horizontal="left"/>
    </xf>
    <xf numFmtId="0" fontId="0" fillId="0" borderId="13" xfId="0" applyFont="1" applyBorder="1" applyAlignment="1">
      <alignment/>
    </xf>
    <xf numFmtId="3" fontId="2" fillId="8" borderId="27" xfId="0" applyNumberFormat="1" applyFont="1" applyFill="1" applyBorder="1" applyAlignment="1">
      <alignment/>
    </xf>
    <xf numFmtId="0" fontId="0" fillId="0" borderId="17" xfId="0" applyFont="1" applyFill="1" applyBorder="1" applyAlignment="1">
      <alignment/>
    </xf>
    <xf numFmtId="0" fontId="0" fillId="0" borderId="18" xfId="0" applyFont="1" applyFill="1" applyBorder="1" applyAlignment="1">
      <alignment/>
    </xf>
    <xf numFmtId="0" fontId="0" fillId="0" borderId="0" xfId="0" applyFont="1" applyFill="1" applyBorder="1" applyAlignment="1">
      <alignment horizontal="left"/>
    </xf>
    <xf numFmtId="0" fontId="4" fillId="0" borderId="11" xfId="0" applyFont="1" applyFill="1" applyBorder="1" applyAlignment="1">
      <alignment/>
    </xf>
    <xf numFmtId="0" fontId="0" fillId="8" borderId="27" xfId="0" applyFill="1" applyBorder="1" applyAlignment="1">
      <alignment horizontal="right"/>
    </xf>
    <xf numFmtId="0" fontId="0" fillId="0" borderId="0" xfId="0" applyFont="1" applyAlignment="1">
      <alignment vertical="top"/>
    </xf>
    <xf numFmtId="0" fontId="0" fillId="0" borderId="0" xfId="0" applyAlignment="1">
      <alignment vertical="top"/>
    </xf>
    <xf numFmtId="167" fontId="0" fillId="8" borderId="30" xfId="0" applyNumberFormat="1" applyFont="1" applyFill="1" applyBorder="1" applyAlignment="1">
      <alignment/>
    </xf>
    <xf numFmtId="0" fontId="0" fillId="2" borderId="13" xfId="0" applyFont="1" applyFill="1" applyBorder="1" applyAlignment="1">
      <alignment/>
    </xf>
    <xf numFmtId="1" fontId="0" fillId="8" borderId="30" xfId="0" applyNumberFormat="1" applyFont="1" applyFill="1" applyBorder="1" applyAlignment="1">
      <alignment horizontal="right"/>
    </xf>
    <xf numFmtId="0" fontId="0" fillId="0" borderId="14" xfId="0" applyFont="1" applyFill="1" applyBorder="1" applyAlignment="1">
      <alignment/>
    </xf>
    <xf numFmtId="167" fontId="0" fillId="0" borderId="14" xfId="0" applyNumberFormat="1" applyFont="1" applyFill="1" applyBorder="1" applyAlignment="1">
      <alignment/>
    </xf>
    <xf numFmtId="0" fontId="0" fillId="0" borderId="11" xfId="0" applyFont="1" applyFill="1" applyBorder="1" applyAlignment="1">
      <alignment/>
    </xf>
    <xf numFmtId="0" fontId="0" fillId="0" borderId="12" xfId="0" applyFont="1" applyFill="1" applyBorder="1" applyAlignment="1">
      <alignment/>
    </xf>
    <xf numFmtId="3" fontId="2" fillId="8" borderId="30" xfId="0" applyNumberFormat="1" applyFont="1" applyFill="1" applyBorder="1" applyAlignment="1">
      <alignment/>
    </xf>
    <xf numFmtId="0" fontId="0" fillId="0" borderId="39" xfId="0" applyFont="1" applyFill="1" applyBorder="1" applyAlignment="1">
      <alignment/>
    </xf>
    <xf numFmtId="0" fontId="4" fillId="0" borderId="19" xfId="0" applyFont="1" applyFill="1" applyBorder="1" applyAlignment="1">
      <alignment/>
    </xf>
    <xf numFmtId="3" fontId="2" fillId="0" borderId="19" xfId="0" applyNumberFormat="1" applyFont="1" applyFill="1" applyBorder="1" applyAlignment="1">
      <alignment/>
    </xf>
    <xf numFmtId="0" fontId="0" fillId="0" borderId="19" xfId="0" applyFont="1" applyFill="1" applyBorder="1" applyAlignment="1">
      <alignment/>
    </xf>
    <xf numFmtId="1" fontId="0" fillId="0" borderId="0" xfId="0" applyNumberFormat="1" applyFont="1" applyFill="1" applyBorder="1" applyAlignment="1">
      <alignment horizontal="right"/>
    </xf>
    <xf numFmtId="167" fontId="0" fillId="0" borderId="40" xfId="0" applyNumberFormat="1" applyFont="1" applyFill="1" applyBorder="1" applyAlignment="1">
      <alignment/>
    </xf>
    <xf numFmtId="166" fontId="0" fillId="0" borderId="0" xfId="0" applyNumberFormat="1" applyFill="1" applyBorder="1" applyAlignment="1">
      <alignment/>
    </xf>
    <xf numFmtId="9" fontId="0" fillId="0" borderId="0" xfId="0" applyNumberFormat="1" applyFill="1" applyBorder="1" applyAlignment="1">
      <alignment/>
    </xf>
    <xf numFmtId="1" fontId="0" fillId="8" borderId="30" xfId="0" applyNumberFormat="1" applyFont="1" applyFill="1" applyBorder="1" applyAlignment="1">
      <alignment/>
    </xf>
    <xf numFmtId="0" fontId="0" fillId="8" borderId="37" xfId="0" applyFill="1" applyBorder="1" applyAlignment="1">
      <alignment horizontal="right"/>
    </xf>
    <xf numFmtId="1" fontId="0" fillId="8" borderId="41" xfId="0" applyNumberFormat="1" applyFill="1" applyBorder="1" applyAlignment="1">
      <alignment horizontal="right"/>
    </xf>
    <xf numFmtId="3" fontId="2" fillId="8" borderId="37" xfId="0" applyNumberFormat="1" applyFont="1" applyFill="1" applyBorder="1" applyAlignment="1">
      <alignment horizontal="right"/>
    </xf>
    <xf numFmtId="0" fontId="4" fillId="0" borderId="11" xfId="0" applyFont="1" applyFill="1" applyBorder="1" applyAlignment="1">
      <alignment/>
    </xf>
    <xf numFmtId="0" fontId="4" fillId="0" borderId="13" xfId="0" applyFont="1" applyBorder="1" applyAlignment="1">
      <alignment/>
    </xf>
    <xf numFmtId="1" fontId="2" fillId="8" borderId="38" xfId="0" applyNumberFormat="1" applyFont="1" applyFill="1" applyBorder="1" applyAlignment="1">
      <alignment/>
    </xf>
    <xf numFmtId="166" fontId="0" fillId="0" borderId="37" xfId="0" applyNumberFormat="1" applyBorder="1" applyAlignment="1">
      <alignment/>
    </xf>
    <xf numFmtId="0" fontId="0" fillId="0" borderId="0" xfId="0" applyFont="1" applyAlignment="1">
      <alignment horizontal="left" vertical="top"/>
    </xf>
    <xf numFmtId="0" fontId="2" fillId="0" borderId="0" xfId="0" applyFont="1" applyFill="1" applyAlignment="1">
      <alignment vertical="top"/>
    </xf>
    <xf numFmtId="0" fontId="5" fillId="0" borderId="0" xfId="0" applyFont="1" applyAlignment="1">
      <alignment/>
    </xf>
    <xf numFmtId="4" fontId="0" fillId="8" borderId="42" xfId="0" applyNumberFormat="1" applyFont="1" applyFill="1" applyBorder="1" applyAlignment="1">
      <alignment horizontal="right" vertical="center" wrapText="1"/>
    </xf>
    <xf numFmtId="0" fontId="0" fillId="0" borderId="17" xfId="0" applyFont="1" applyFill="1" applyBorder="1" applyAlignment="1">
      <alignment/>
    </xf>
    <xf numFmtId="167" fontId="0" fillId="0" borderId="0" xfId="0" applyNumberFormat="1" applyAlignment="1">
      <alignment/>
    </xf>
    <xf numFmtId="2" fontId="0" fillId="8" borderId="27" xfId="0" applyNumberFormat="1" applyFill="1" applyBorder="1" applyAlignment="1">
      <alignment/>
    </xf>
    <xf numFmtId="0" fontId="0" fillId="0" borderId="0" xfId="0" applyFill="1" applyAlignment="1">
      <alignment horizontal="center"/>
    </xf>
    <xf numFmtId="9" fontId="0" fillId="0" borderId="19" xfId="0" applyNumberFormat="1" applyFill="1" applyBorder="1" applyAlignment="1">
      <alignment/>
    </xf>
    <xf numFmtId="0" fontId="4" fillId="0" borderId="10" xfId="0" applyFont="1" applyBorder="1" applyAlignment="1">
      <alignment/>
    </xf>
    <xf numFmtId="0" fontId="0" fillId="2" borderId="11" xfId="0" applyFont="1" applyFill="1" applyBorder="1" applyAlignment="1">
      <alignment/>
    </xf>
    <xf numFmtId="1" fontId="0" fillId="8" borderId="27" xfId="0" applyNumberFormat="1" applyFill="1" applyBorder="1" applyAlignment="1">
      <alignment horizontal="right"/>
    </xf>
    <xf numFmtId="0" fontId="4" fillId="0" borderId="13" xfId="0" applyFont="1" applyFill="1" applyBorder="1" applyAlignment="1">
      <alignment/>
    </xf>
    <xf numFmtId="2" fontId="0" fillId="8" borderId="27" xfId="0" applyNumberFormat="1" applyFont="1" applyFill="1" applyBorder="1" applyAlignment="1">
      <alignment/>
    </xf>
    <xf numFmtId="2" fontId="0" fillId="2" borderId="27" xfId="0" applyNumberFormat="1" applyFont="1" applyFill="1" applyBorder="1" applyAlignment="1">
      <alignment/>
    </xf>
    <xf numFmtId="166" fontId="0" fillId="8" borderId="27" xfId="0" applyNumberFormat="1" applyFont="1" applyFill="1" applyBorder="1" applyAlignment="1">
      <alignment horizontal="right"/>
    </xf>
    <xf numFmtId="166" fontId="0" fillId="8" borderId="30" xfId="0" applyNumberFormat="1" applyFill="1" applyBorder="1" applyAlignment="1">
      <alignment horizontal="right"/>
    </xf>
    <xf numFmtId="1" fontId="0" fillId="0" borderId="0" xfId="0" applyNumberFormat="1" applyFont="1" applyFill="1" applyBorder="1" applyAlignment="1">
      <alignment/>
    </xf>
    <xf numFmtId="166" fontId="2" fillId="8" borderId="28" xfId="0" applyNumberFormat="1" applyFont="1" applyFill="1" applyBorder="1" applyAlignment="1">
      <alignment/>
    </xf>
    <xf numFmtId="2" fontId="2" fillId="8" borderId="27" xfId="0" applyNumberFormat="1" applyFont="1" applyFill="1" applyBorder="1" applyAlignment="1">
      <alignment/>
    </xf>
    <xf numFmtId="166" fontId="0" fillId="8" borderId="27" xfId="0" applyNumberFormat="1" applyFill="1" applyBorder="1" applyAlignment="1">
      <alignment/>
    </xf>
    <xf numFmtId="0" fontId="2" fillId="0" borderId="10" xfId="0" applyFont="1" applyFill="1" applyBorder="1" applyAlignment="1">
      <alignment/>
    </xf>
    <xf numFmtId="0" fontId="2" fillId="0" borderId="11" xfId="0" applyFont="1" applyFill="1" applyBorder="1" applyAlignment="1">
      <alignment/>
    </xf>
    <xf numFmtId="3" fontId="0" fillId="0" borderId="0" xfId="0" applyNumberFormat="1" applyFont="1" applyFill="1" applyAlignment="1">
      <alignment/>
    </xf>
    <xf numFmtId="167" fontId="0" fillId="0" borderId="0" xfId="0" applyNumberFormat="1" applyFont="1" applyFill="1" applyAlignment="1">
      <alignment/>
    </xf>
    <xf numFmtId="0" fontId="4" fillId="0" borderId="10" xfId="0" applyFont="1" applyFill="1" applyBorder="1" applyAlignment="1">
      <alignment/>
    </xf>
    <xf numFmtId="0" fontId="4" fillId="0" borderId="20" xfId="0" applyFont="1" applyFill="1" applyBorder="1" applyAlignment="1">
      <alignment/>
    </xf>
    <xf numFmtId="0" fontId="2" fillId="0" borderId="13" xfId="0" applyFont="1" applyFill="1" applyBorder="1" applyAlignment="1">
      <alignment/>
    </xf>
    <xf numFmtId="166" fontId="2" fillId="8" borderId="30" xfId="0" applyNumberFormat="1" applyFont="1" applyFill="1" applyBorder="1" applyAlignment="1">
      <alignment/>
    </xf>
    <xf numFmtId="3" fontId="0" fillId="0" borderId="28" xfId="0" applyNumberFormat="1" applyBorder="1" applyAlignment="1">
      <alignment/>
    </xf>
    <xf numFmtId="167" fontId="0" fillId="8" borderId="30" xfId="0" applyNumberFormat="1" applyFill="1" applyBorder="1" applyAlignment="1">
      <alignment/>
    </xf>
    <xf numFmtId="1" fontId="2" fillId="8" borderId="28" xfId="0" applyNumberFormat="1" applyFont="1" applyFill="1" applyBorder="1" applyAlignment="1">
      <alignment/>
    </xf>
    <xf numFmtId="0" fontId="0" fillId="0" borderId="35" xfId="0" applyFill="1" applyBorder="1" applyAlignment="1">
      <alignment/>
    </xf>
    <xf numFmtId="0" fontId="9" fillId="0" borderId="0" xfId="0" applyFont="1" applyFill="1" applyAlignment="1">
      <alignment/>
    </xf>
    <xf numFmtId="0" fontId="0" fillId="0" borderId="0" xfId="0" applyFont="1" applyAlignment="1">
      <alignment vertical="top" wrapText="1"/>
    </xf>
    <xf numFmtId="0" fontId="0" fillId="0" borderId="0" xfId="0" applyAlignment="1">
      <alignment horizontal="center" vertical="top"/>
    </xf>
    <xf numFmtId="0" fontId="0" fillId="0" borderId="0" xfId="0" applyAlignment="1">
      <alignment horizontal="left" vertical="top"/>
    </xf>
    <xf numFmtId="0" fontId="11" fillId="0" borderId="0" xfId="0" applyFont="1" applyAlignment="1">
      <alignment vertical="top"/>
    </xf>
    <xf numFmtId="0" fontId="11" fillId="0" borderId="0" xfId="0" applyFont="1" applyAlignment="1">
      <alignment horizontal="center" vertical="top"/>
    </xf>
    <xf numFmtId="0" fontId="2" fillId="6" borderId="43" xfId="0" applyFont="1" applyFill="1" applyBorder="1" applyAlignment="1">
      <alignment horizontal="center"/>
    </xf>
    <xf numFmtId="0" fontId="0" fillId="0" borderId="0" xfId="0" applyFill="1" applyBorder="1" applyAlignment="1">
      <alignment vertical="center"/>
    </xf>
    <xf numFmtId="0" fontId="0" fillId="0" borderId="10" xfId="0" applyFill="1" applyBorder="1" applyAlignment="1">
      <alignment horizontal="center"/>
    </xf>
    <xf numFmtId="0" fontId="0" fillId="0" borderId="17" xfId="0" applyFill="1" applyBorder="1" applyAlignment="1">
      <alignment horizontal="center"/>
    </xf>
    <xf numFmtId="0" fontId="0" fillId="0" borderId="18" xfId="0"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2" fillId="0" borderId="0" xfId="0" applyFont="1" applyFill="1" applyBorder="1" applyAlignment="1">
      <alignment horizontal="centerContinuous" vertical="top"/>
    </xf>
    <xf numFmtId="0" fontId="0" fillId="0" borderId="0" xfId="0" applyNumberFormat="1" applyFill="1" applyAlignment="1">
      <alignment horizontal="center"/>
    </xf>
    <xf numFmtId="0" fontId="10" fillId="0" borderId="0" xfId="53" applyAlignment="1" applyProtection="1">
      <alignment horizontal="right" vertical="top"/>
      <protection/>
    </xf>
    <xf numFmtId="10" fontId="0" fillId="0" borderId="0" xfId="0" applyNumberFormat="1" applyFill="1" applyBorder="1" applyAlignment="1">
      <alignment horizontal="center"/>
    </xf>
    <xf numFmtId="0" fontId="0" fillId="0" borderId="0" xfId="0" applyFill="1" applyAlignment="1">
      <alignment vertical="top"/>
    </xf>
    <xf numFmtId="0" fontId="0" fillId="0" borderId="11" xfId="0" applyBorder="1" applyAlignment="1">
      <alignment horizontal="center"/>
    </xf>
    <xf numFmtId="0" fontId="0" fillId="0" borderId="12" xfId="0" applyBorder="1" applyAlignment="1">
      <alignment horizontal="center"/>
    </xf>
    <xf numFmtId="2" fontId="0" fillId="0" borderId="0" xfId="0" applyNumberFormat="1" applyFill="1" applyAlignment="1">
      <alignment horizontal="center"/>
    </xf>
    <xf numFmtId="0" fontId="0" fillId="0" borderId="0" xfId="0" applyFont="1" applyFill="1" applyAlignment="1">
      <alignment vertical="top"/>
    </xf>
    <xf numFmtId="0" fontId="0" fillId="0" borderId="13" xfId="0" applyFill="1" applyBorder="1" applyAlignment="1">
      <alignment horizontal="center"/>
    </xf>
    <xf numFmtId="10" fontId="0" fillId="0" borderId="14" xfId="0" applyNumberFormat="1" applyFill="1" applyBorder="1" applyAlignment="1">
      <alignment horizontal="center"/>
    </xf>
    <xf numFmtId="0" fontId="0" fillId="0" borderId="15" xfId="0" applyFill="1" applyBorder="1" applyAlignment="1">
      <alignment horizontal="center"/>
    </xf>
    <xf numFmtId="0" fontId="2" fillId="0" borderId="0" xfId="0" applyFont="1" applyFill="1" applyAlignment="1">
      <alignment horizontal="left"/>
    </xf>
    <xf numFmtId="0" fontId="14" fillId="0" borderId="0" xfId="0" applyFont="1" applyFill="1" applyAlignment="1">
      <alignment/>
    </xf>
    <xf numFmtId="0" fontId="23" fillId="0" borderId="17" xfId="0" applyFont="1" applyFill="1" applyBorder="1" applyAlignment="1">
      <alignment/>
    </xf>
    <xf numFmtId="0" fontId="9" fillId="0" borderId="0" xfId="0" applyFont="1" applyBorder="1" applyAlignment="1">
      <alignment/>
    </xf>
    <xf numFmtId="0" fontId="1" fillId="0" borderId="0" xfId="0" applyFont="1" applyFill="1" applyBorder="1" applyAlignment="1">
      <alignment/>
    </xf>
    <xf numFmtId="2" fontId="0" fillId="0" borderId="0" xfId="0" applyNumberFormat="1" applyAlignment="1">
      <alignment/>
    </xf>
    <xf numFmtId="3" fontId="0" fillId="8" borderId="27" xfId="0" applyNumberFormat="1" applyFill="1" applyBorder="1" applyAlignment="1">
      <alignment horizontal="right"/>
    </xf>
    <xf numFmtId="0" fontId="9" fillId="0" borderId="14" xfId="0" applyFont="1" applyFill="1" applyBorder="1" applyAlignment="1">
      <alignment/>
    </xf>
    <xf numFmtId="0" fontId="2" fillId="0" borderId="0" xfId="0" applyFont="1" applyFill="1" applyBorder="1" applyAlignment="1">
      <alignment horizontal="center" vertical="center"/>
    </xf>
    <xf numFmtId="0" fontId="2" fillId="6" borderId="42" xfId="0" applyFont="1" applyFill="1" applyBorder="1" applyAlignment="1">
      <alignment horizontal="center"/>
    </xf>
    <xf numFmtId="0" fontId="2" fillId="6" borderId="44" xfId="0" applyFont="1" applyFill="1" applyBorder="1" applyAlignment="1">
      <alignment horizontal="center"/>
    </xf>
    <xf numFmtId="0" fontId="2" fillId="6" borderId="30" xfId="0" applyFont="1" applyFill="1" applyBorder="1" applyAlignment="1">
      <alignment horizontal="center"/>
    </xf>
    <xf numFmtId="3" fontId="2" fillId="8" borderId="14" xfId="0" applyNumberFormat="1" applyFont="1" applyFill="1" applyBorder="1" applyAlignment="1">
      <alignment horizontal="center"/>
    </xf>
    <xf numFmtId="0" fontId="0" fillId="2" borderId="0" xfId="0" applyFont="1" applyFill="1" applyBorder="1" applyAlignment="1">
      <alignment/>
    </xf>
    <xf numFmtId="0" fontId="14" fillId="0" borderId="0" xfId="0" applyFont="1" applyAlignment="1">
      <alignment/>
    </xf>
    <xf numFmtId="0" fontId="9" fillId="0" borderId="0" xfId="0" applyFont="1" applyBorder="1" applyAlignment="1">
      <alignment horizontal="left"/>
    </xf>
    <xf numFmtId="0" fontId="0" fillId="0" borderId="0" xfId="0" applyBorder="1" applyAlignment="1">
      <alignment vertical="top"/>
    </xf>
    <xf numFmtId="1" fontId="2" fillId="8" borderId="27" xfId="0" applyNumberFormat="1" applyFont="1" applyFill="1" applyBorder="1" applyAlignment="1" applyProtection="1">
      <alignment horizontal="right"/>
      <protection/>
    </xf>
    <xf numFmtId="0" fontId="0" fillId="0" borderId="0" xfId="0" applyBorder="1" applyAlignment="1">
      <alignment horizontal="center"/>
    </xf>
    <xf numFmtId="4" fontId="2" fillId="8" borderId="30" xfId="0" applyNumberFormat="1" applyFont="1" applyFill="1" applyBorder="1" applyAlignment="1">
      <alignment/>
    </xf>
    <xf numFmtId="0" fontId="0" fillId="0" borderId="14" xfId="0" applyBorder="1" applyAlignment="1">
      <alignment horizontal="center"/>
    </xf>
    <xf numFmtId="0" fontId="2" fillId="0" borderId="0" xfId="0" applyFont="1" applyFill="1" applyBorder="1" applyAlignment="1">
      <alignment horizontal="center"/>
    </xf>
    <xf numFmtId="3" fontId="0" fillId="0" borderId="0" xfId="0" applyNumberFormat="1" applyBorder="1" applyAlignment="1">
      <alignment horizontal="right"/>
    </xf>
    <xf numFmtId="0" fontId="9" fillId="0" borderId="0" xfId="0" applyFont="1" applyFill="1" applyBorder="1" applyAlignment="1">
      <alignment/>
    </xf>
    <xf numFmtId="167" fontId="0" fillId="0" borderId="0" xfId="0" applyNumberFormat="1" applyBorder="1" applyAlignment="1">
      <alignment/>
    </xf>
    <xf numFmtId="0" fontId="2" fillId="0" borderId="0" xfId="0" applyFont="1" applyFill="1" applyBorder="1" applyAlignment="1">
      <alignment horizontal="centerContinuous"/>
    </xf>
    <xf numFmtId="0" fontId="2" fillId="8" borderId="27" xfId="0" applyFont="1" applyFill="1" applyBorder="1" applyAlignment="1" quotePrefix="1">
      <alignment horizontal="center"/>
    </xf>
    <xf numFmtId="4" fontId="2" fillId="0" borderId="0" xfId="0" applyNumberFormat="1" applyFont="1" applyFill="1" applyBorder="1" applyAlignment="1">
      <alignment horizontal="center"/>
    </xf>
    <xf numFmtId="0" fontId="2" fillId="0" borderId="0" xfId="0" applyFont="1" applyBorder="1" applyAlignment="1">
      <alignment/>
    </xf>
    <xf numFmtId="0" fontId="9" fillId="0" borderId="15" xfId="0" applyFont="1" applyBorder="1" applyAlignment="1">
      <alignment/>
    </xf>
    <xf numFmtId="4" fontId="0" fillId="0" borderId="0" xfId="0" applyNumberFormat="1" applyAlignment="1">
      <alignment/>
    </xf>
    <xf numFmtId="0" fontId="2" fillId="6" borderId="43" xfId="0" applyFont="1" applyFill="1" applyBorder="1" applyAlignment="1">
      <alignment horizontal="centerContinuous"/>
    </xf>
    <xf numFmtId="0" fontId="2" fillId="6" borderId="45" xfId="0" applyFont="1" applyFill="1" applyBorder="1" applyAlignment="1">
      <alignment horizontal="centerContinuous"/>
    </xf>
    <xf numFmtId="0" fontId="2" fillId="6" borderId="46" xfId="0" applyFont="1" applyFill="1" applyBorder="1" applyAlignment="1">
      <alignment horizontal="centerContinuous"/>
    </xf>
    <xf numFmtId="0" fontId="2" fillId="6" borderId="47" xfId="0" applyFont="1" applyFill="1" applyBorder="1" applyAlignment="1">
      <alignment horizontal="centerContinuous"/>
    </xf>
    <xf numFmtId="0" fontId="2" fillId="6" borderId="47" xfId="0" applyFont="1" applyFill="1" applyBorder="1" applyAlignment="1">
      <alignment horizontal="center"/>
    </xf>
    <xf numFmtId="0" fontId="2" fillId="6" borderId="48" xfId="0" applyFont="1" applyFill="1" applyBorder="1" applyAlignment="1">
      <alignment horizontal="center"/>
    </xf>
    <xf numFmtId="0" fontId="2" fillId="6" borderId="27" xfId="0" applyFont="1" applyFill="1" applyBorder="1" applyAlignment="1">
      <alignment horizontal="center"/>
    </xf>
    <xf numFmtId="3" fontId="0" fillId="8" borderId="42" xfId="0" applyNumberFormat="1" applyFill="1" applyBorder="1" applyAlignment="1">
      <alignment horizontal="center"/>
    </xf>
    <xf numFmtId="3" fontId="0" fillId="8" borderId="27" xfId="0" applyNumberFormat="1" applyFill="1" applyBorder="1" applyAlignment="1">
      <alignment horizontal="center"/>
    </xf>
    <xf numFmtId="3" fontId="0" fillId="8" borderId="0" xfId="0" applyNumberFormat="1" applyFill="1" applyAlignment="1">
      <alignment horizontal="center"/>
    </xf>
    <xf numFmtId="3" fontId="0" fillId="8" borderId="43" xfId="0" applyNumberFormat="1" applyFill="1" applyBorder="1" applyAlignment="1">
      <alignment horizontal="center"/>
    </xf>
    <xf numFmtId="3" fontId="0" fillId="8" borderId="24" xfId="0" applyNumberFormat="1" applyFill="1" applyBorder="1" applyAlignment="1">
      <alignment horizontal="center"/>
    </xf>
    <xf numFmtId="3" fontId="0" fillId="8" borderId="49" xfId="0" applyNumberFormat="1" applyFill="1" applyBorder="1" applyAlignment="1">
      <alignment horizontal="center"/>
    </xf>
    <xf numFmtId="3" fontId="0" fillId="8" borderId="50" xfId="0" applyNumberFormat="1" applyFill="1" applyBorder="1" applyAlignment="1">
      <alignment horizontal="center"/>
    </xf>
    <xf numFmtId="3" fontId="0" fillId="8" borderId="48" xfId="0" applyNumberFormat="1" applyFill="1" applyBorder="1" applyAlignment="1">
      <alignment horizontal="center"/>
    </xf>
    <xf numFmtId="3" fontId="2" fillId="8" borderId="48" xfId="0" applyNumberFormat="1" applyFont="1" applyFill="1" applyBorder="1" applyAlignment="1">
      <alignment horizontal="center"/>
    </xf>
    <xf numFmtId="3" fontId="2" fillId="8" borderId="47" xfId="0" applyNumberFormat="1" applyFont="1" applyFill="1" applyBorder="1" applyAlignment="1">
      <alignment horizontal="center"/>
    </xf>
    <xf numFmtId="3" fontId="2" fillId="8" borderId="46" xfId="0" applyNumberFormat="1" applyFont="1" applyFill="1" applyBorder="1" applyAlignment="1">
      <alignment horizontal="center"/>
    </xf>
    <xf numFmtId="0" fontId="0" fillId="8" borderId="47" xfId="0" applyFill="1" applyBorder="1" applyAlignment="1">
      <alignment/>
    </xf>
    <xf numFmtId="10" fontId="2" fillId="0" borderId="0" xfId="0" applyNumberFormat="1" applyFont="1" applyFill="1" applyBorder="1" applyAlignment="1">
      <alignment/>
    </xf>
    <xf numFmtId="0" fontId="14" fillId="0" borderId="0" xfId="0" applyFont="1" applyFill="1" applyBorder="1" applyAlignment="1">
      <alignment/>
    </xf>
    <xf numFmtId="9" fontId="2" fillId="8" borderId="27" xfId="0" applyNumberFormat="1" applyFont="1" applyFill="1" applyBorder="1" applyAlignment="1">
      <alignment horizontal="center"/>
    </xf>
    <xf numFmtId="9" fontId="2" fillId="8" borderId="30" xfId="0" applyNumberFormat="1" applyFont="1" applyFill="1" applyBorder="1" applyAlignment="1">
      <alignment horizontal="center" vertical="center" wrapText="1"/>
    </xf>
    <xf numFmtId="0" fontId="0" fillId="0" borderId="14" xfId="0" applyFill="1" applyBorder="1" applyAlignment="1">
      <alignment horizontal="center" vertical="center" wrapText="1"/>
    </xf>
    <xf numFmtId="0" fontId="9" fillId="0" borderId="11" xfId="0" applyFont="1" applyFill="1" applyBorder="1" applyAlignment="1">
      <alignment/>
    </xf>
    <xf numFmtId="0" fontId="9" fillId="0" borderId="0" xfId="0" applyFont="1" applyFill="1" applyBorder="1" applyAlignment="1">
      <alignment horizontal="left"/>
    </xf>
    <xf numFmtId="3" fontId="9" fillId="0" borderId="0" xfId="0" applyNumberFormat="1" applyFont="1" applyBorder="1" applyAlignment="1">
      <alignment horizontal="left"/>
    </xf>
    <xf numFmtId="0" fontId="9" fillId="0" borderId="11" xfId="0" applyFont="1" applyFill="1" applyBorder="1" applyAlignment="1">
      <alignment horizontal="left"/>
    </xf>
    <xf numFmtId="167" fontId="9" fillId="0" borderId="27" xfId="0" applyNumberFormat="1" applyFont="1" applyFill="1" applyBorder="1" applyAlignment="1">
      <alignment horizontal="center"/>
    </xf>
    <xf numFmtId="2" fontId="9" fillId="0" borderId="27" xfId="0" applyNumberFormat="1" applyFont="1" applyFill="1" applyBorder="1" applyAlignment="1">
      <alignment horizontal="center" vertical="center" wrapText="1"/>
    </xf>
    <xf numFmtId="0" fontId="0" fillId="0" borderId="13" xfId="0" applyBorder="1" applyAlignment="1">
      <alignment horizontal="center"/>
    </xf>
    <xf numFmtId="0" fontId="0" fillId="0" borderId="15" xfId="0" applyBorder="1" applyAlignment="1">
      <alignment horizontal="center"/>
    </xf>
    <xf numFmtId="0" fontId="0" fillId="0" borderId="10" xfId="0" applyBorder="1" applyAlignment="1">
      <alignment horizontal="center"/>
    </xf>
    <xf numFmtId="0" fontId="0" fillId="0" borderId="18" xfId="0" applyBorder="1" applyAlignment="1">
      <alignment horizontal="center"/>
    </xf>
    <xf numFmtId="4" fontId="0" fillId="8" borderId="27" xfId="0" applyNumberFormat="1" applyFont="1" applyFill="1" applyBorder="1" applyAlignment="1">
      <alignment horizontal="right" vertical="center" wrapText="1"/>
    </xf>
    <xf numFmtId="3" fontId="0" fillId="8" borderId="27" xfId="0" applyNumberFormat="1" applyFont="1" applyFill="1" applyBorder="1" applyAlignment="1">
      <alignment horizontal="right" vertical="center" wrapText="1"/>
    </xf>
    <xf numFmtId="0" fontId="0" fillId="0" borderId="0" xfId="0" applyFont="1" applyAlignment="1">
      <alignment vertical="center"/>
    </xf>
    <xf numFmtId="0" fontId="0" fillId="0" borderId="0" xfId="0" applyFont="1" applyAlignment="1">
      <alignment horizontal="right" vertical="center"/>
    </xf>
    <xf numFmtId="0" fontId="0" fillId="0" borderId="15" xfId="0" applyFont="1" applyFill="1" applyBorder="1" applyAlignment="1">
      <alignment/>
    </xf>
    <xf numFmtId="0" fontId="0" fillId="0" borderId="20" xfId="0" applyBorder="1" applyAlignment="1">
      <alignment/>
    </xf>
    <xf numFmtId="0" fontId="0" fillId="0" borderId="26" xfId="0" applyBorder="1" applyAlignment="1">
      <alignment/>
    </xf>
    <xf numFmtId="0" fontId="2" fillId="6" borderId="51" xfId="0" applyFont="1" applyFill="1" applyBorder="1" applyAlignment="1">
      <alignment horizontal="center"/>
    </xf>
    <xf numFmtId="0" fontId="2" fillId="6" borderId="52" xfId="0" applyFont="1" applyFill="1" applyBorder="1" applyAlignment="1">
      <alignment horizontal="center"/>
    </xf>
    <xf numFmtId="0" fontId="2" fillId="6" borderId="45" xfId="0" applyFont="1" applyFill="1" applyBorder="1" applyAlignment="1">
      <alignment horizontal="center"/>
    </xf>
    <xf numFmtId="0" fontId="0" fillId="0" borderId="0" xfId="0" applyFont="1" applyFill="1" applyAlignment="1">
      <alignment/>
    </xf>
    <xf numFmtId="0" fontId="0" fillId="0" borderId="10" xfId="0" applyFont="1" applyBorder="1" applyAlignment="1">
      <alignment/>
    </xf>
    <xf numFmtId="0" fontId="0" fillId="0" borderId="17" xfId="0" applyFont="1" applyBorder="1" applyAlignment="1">
      <alignment/>
    </xf>
    <xf numFmtId="0" fontId="0" fillId="0" borderId="18" xfId="0" applyFont="1" applyBorder="1" applyAlignment="1">
      <alignment/>
    </xf>
    <xf numFmtId="0" fontId="0" fillId="0" borderId="11" xfId="0" applyFont="1" applyFill="1" applyBorder="1" applyAlignment="1">
      <alignment/>
    </xf>
    <xf numFmtId="0" fontId="0" fillId="0" borderId="0" xfId="0" applyFont="1" applyBorder="1" applyAlignment="1">
      <alignment/>
    </xf>
    <xf numFmtId="0" fontId="0" fillId="0" borderId="12" xfId="0" applyFont="1" applyFill="1" applyBorder="1" applyAlignment="1">
      <alignment/>
    </xf>
    <xf numFmtId="0" fontId="0" fillId="0" borderId="0" xfId="0" applyFont="1" applyFill="1" applyBorder="1" applyAlignment="1">
      <alignment/>
    </xf>
    <xf numFmtId="9" fontId="0" fillId="8" borderId="27" xfId="0" applyNumberFormat="1" applyFont="1" applyFill="1" applyBorder="1" applyAlignment="1">
      <alignment horizontal="center"/>
    </xf>
    <xf numFmtId="0" fontId="0" fillId="0" borderId="12" xfId="0" applyFont="1" applyBorder="1" applyAlignment="1">
      <alignment/>
    </xf>
    <xf numFmtId="0" fontId="0" fillId="8" borderId="27" xfId="0" applyFont="1" applyFill="1" applyBorder="1" applyAlignment="1">
      <alignment horizontal="center"/>
    </xf>
    <xf numFmtId="0" fontId="0" fillId="0" borderId="11" xfId="0" applyFont="1" applyBorder="1" applyAlignment="1">
      <alignment/>
    </xf>
    <xf numFmtId="0" fontId="0" fillId="0" borderId="13" xfId="0" applyFont="1" applyBorder="1" applyAlignment="1">
      <alignment/>
    </xf>
    <xf numFmtId="0" fontId="0" fillId="8" borderId="30" xfId="0" applyFont="1" applyFill="1" applyBorder="1" applyAlignment="1">
      <alignment horizontal="center"/>
    </xf>
    <xf numFmtId="0" fontId="0" fillId="0" borderId="14" xfId="0" applyFont="1" applyBorder="1" applyAlignment="1">
      <alignment/>
    </xf>
    <xf numFmtId="0" fontId="0" fillId="0" borderId="15" xfId="0" applyFont="1" applyBorder="1" applyAlignment="1">
      <alignment/>
    </xf>
    <xf numFmtId="0" fontId="0" fillId="0" borderId="0" xfId="0" applyFont="1" applyFill="1" applyBorder="1" applyAlignment="1">
      <alignment horizontal="center"/>
    </xf>
    <xf numFmtId="1" fontId="2" fillId="8" borderId="27" xfId="0" applyNumberFormat="1" applyFont="1" applyFill="1" applyBorder="1" applyAlignment="1">
      <alignment horizontal="center"/>
    </xf>
    <xf numFmtId="1" fontId="2" fillId="8" borderId="30" xfId="0" applyNumberFormat="1" applyFont="1" applyFill="1" applyBorder="1" applyAlignment="1">
      <alignment horizontal="center"/>
    </xf>
    <xf numFmtId="0" fontId="0" fillId="0" borderId="10" xfId="0" applyFont="1" applyFill="1" applyBorder="1" applyAlignment="1">
      <alignment/>
    </xf>
    <xf numFmtId="164" fontId="0" fillId="8" borderId="28" xfId="0" applyNumberFormat="1" applyFont="1" applyFill="1" applyBorder="1" applyAlignment="1">
      <alignment horizontal="center"/>
    </xf>
    <xf numFmtId="0" fontId="0" fillId="0" borderId="17" xfId="0" applyFont="1" applyFill="1" applyBorder="1" applyAlignment="1">
      <alignment/>
    </xf>
    <xf numFmtId="0" fontId="0" fillId="0" borderId="18" xfId="0" applyFont="1" applyFill="1" applyBorder="1" applyAlignment="1">
      <alignment/>
    </xf>
    <xf numFmtId="0" fontId="0" fillId="0" borderId="14" xfId="0" applyFont="1" applyFill="1" applyBorder="1" applyAlignment="1">
      <alignment/>
    </xf>
    <xf numFmtId="0" fontId="4" fillId="0" borderId="11" xfId="0" applyFont="1" applyBorder="1" applyAlignment="1">
      <alignment/>
    </xf>
    <xf numFmtId="0" fontId="27" fillId="0" borderId="0" xfId="0" applyFont="1" applyFill="1" applyAlignment="1">
      <alignment/>
    </xf>
    <xf numFmtId="0" fontId="0" fillId="0" borderId="13" xfId="0" applyFont="1" applyFill="1" applyBorder="1" applyAlignment="1">
      <alignment/>
    </xf>
    <xf numFmtId="166" fontId="0" fillId="8" borderId="30" xfId="0" applyNumberFormat="1" applyFont="1" applyFill="1" applyBorder="1" applyAlignment="1">
      <alignment horizontal="center"/>
    </xf>
    <xf numFmtId="0" fontId="0" fillId="0" borderId="0" xfId="0" applyFont="1" applyFill="1" applyAlignment="1">
      <alignment horizontal="center"/>
    </xf>
    <xf numFmtId="165" fontId="0" fillId="8" borderId="27" xfId="0" applyNumberFormat="1" applyFont="1" applyFill="1" applyBorder="1" applyAlignment="1">
      <alignment horizontal="center"/>
    </xf>
    <xf numFmtId="0" fontId="27" fillId="0" borderId="0" xfId="0" applyFont="1" applyFill="1" applyBorder="1" applyAlignment="1">
      <alignment/>
    </xf>
    <xf numFmtId="3" fontId="0" fillId="0" borderId="0" xfId="0" applyNumberFormat="1" applyFont="1" applyFill="1" applyBorder="1" applyAlignment="1">
      <alignment horizontal="center"/>
    </xf>
    <xf numFmtId="167" fontId="0" fillId="0" borderId="0" xfId="0" applyNumberFormat="1" applyFont="1" applyFill="1" applyBorder="1" applyAlignment="1">
      <alignment horizontal="center"/>
    </xf>
    <xf numFmtId="167" fontId="0" fillId="0" borderId="0" xfId="0" applyNumberFormat="1" applyFont="1" applyAlignment="1">
      <alignment/>
    </xf>
    <xf numFmtId="3" fontId="0" fillId="0" borderId="0" xfId="0" applyNumberFormat="1" applyFont="1" applyFill="1" applyBorder="1" applyAlignment="1">
      <alignment/>
    </xf>
    <xf numFmtId="0" fontId="2" fillId="6" borderId="47" xfId="0" applyFont="1" applyFill="1" applyBorder="1" applyAlignment="1">
      <alignment/>
    </xf>
    <xf numFmtId="0" fontId="2" fillId="6" borderId="53" xfId="0" applyFont="1" applyFill="1" applyBorder="1" applyAlignment="1">
      <alignment horizontal="center"/>
    </xf>
    <xf numFmtId="0" fontId="17" fillId="6" borderId="28" xfId="0" applyFont="1" applyFill="1" applyBorder="1" applyAlignment="1">
      <alignment horizontal="center"/>
    </xf>
    <xf numFmtId="0" fontId="2" fillId="6" borderId="39" xfId="0" applyFont="1" applyFill="1" applyBorder="1" applyAlignment="1">
      <alignment horizontal="center"/>
    </xf>
    <xf numFmtId="0" fontId="17" fillId="6" borderId="27" xfId="0" applyFont="1" applyFill="1" applyBorder="1" applyAlignment="1">
      <alignment horizontal="center"/>
    </xf>
    <xf numFmtId="0" fontId="2" fillId="6" borderId="40" xfId="0" applyFont="1" applyFill="1" applyBorder="1" applyAlignment="1">
      <alignment horizontal="center"/>
    </xf>
    <xf numFmtId="0" fontId="17" fillId="6" borderId="18" xfId="0" applyFont="1" applyFill="1" applyBorder="1" applyAlignment="1">
      <alignment horizontal="center"/>
    </xf>
    <xf numFmtId="0" fontId="2" fillId="6" borderId="17" xfId="0" applyFont="1" applyFill="1" applyBorder="1" applyAlignment="1">
      <alignment horizontal="centerContinuous" vertical="center"/>
    </xf>
    <xf numFmtId="0" fontId="2" fillId="6" borderId="18" xfId="0" applyFont="1" applyFill="1" applyBorder="1" applyAlignment="1">
      <alignment horizontal="centerContinuous" vertical="center"/>
    </xf>
    <xf numFmtId="0" fontId="17" fillId="6" borderId="12" xfId="0" applyFont="1" applyFill="1" applyBorder="1" applyAlignment="1">
      <alignment horizontal="center"/>
    </xf>
    <xf numFmtId="0" fontId="2" fillId="6" borderId="54" xfId="0" applyFont="1" applyFill="1" applyBorder="1" applyAlignment="1">
      <alignment horizontal="center"/>
    </xf>
    <xf numFmtId="0" fontId="2" fillId="6" borderId="15" xfId="0" applyFont="1" applyFill="1" applyBorder="1" applyAlignment="1">
      <alignment horizontal="center"/>
    </xf>
    <xf numFmtId="0" fontId="2" fillId="6" borderId="55" xfId="0" applyFont="1" applyFill="1" applyBorder="1" applyAlignment="1">
      <alignment horizontal="center"/>
    </xf>
    <xf numFmtId="0" fontId="2" fillId="6" borderId="14" xfId="0" applyFont="1" applyFill="1" applyBorder="1" applyAlignment="1">
      <alignment horizontal="center"/>
    </xf>
    <xf numFmtId="0" fontId="0" fillId="0" borderId="0" xfId="0" applyFill="1" applyAlignment="1">
      <alignment horizontal="right"/>
    </xf>
    <xf numFmtId="0" fontId="0" fillId="0" borderId="0" xfId="0" applyFont="1" applyFill="1" applyAlignment="1" quotePrefix="1">
      <alignment horizontal="right"/>
    </xf>
    <xf numFmtId="0" fontId="9" fillId="0" borderId="0" xfId="0" applyFont="1" applyAlignment="1">
      <alignment vertical="center"/>
    </xf>
    <xf numFmtId="0" fontId="0" fillId="0" borderId="0" xfId="0" applyFill="1" applyAlignment="1">
      <alignment horizontal="left"/>
    </xf>
    <xf numFmtId="0" fontId="2" fillId="8" borderId="10" xfId="0" applyFont="1" applyFill="1" applyBorder="1" applyAlignment="1">
      <alignment horizontal="center"/>
    </xf>
    <xf numFmtId="0" fontId="2" fillId="8" borderId="11" xfId="0" applyFont="1" applyFill="1" applyBorder="1" applyAlignment="1">
      <alignment horizontal="center"/>
    </xf>
    <xf numFmtId="0" fontId="2" fillId="8" borderId="13" xfId="0" applyFont="1" applyFill="1" applyBorder="1" applyAlignment="1">
      <alignment horizontal="center"/>
    </xf>
    <xf numFmtId="0" fontId="2" fillId="0" borderId="56" xfId="0" applyFont="1" applyFill="1" applyBorder="1" applyAlignment="1">
      <alignment horizontal="centerContinuous"/>
    </xf>
    <xf numFmtId="0" fontId="0" fillId="0" borderId="57" xfId="0" applyBorder="1" applyAlignment="1">
      <alignment horizontal="centerContinuous"/>
    </xf>
    <xf numFmtId="0" fontId="0" fillId="0" borderId="58" xfId="0" applyFill="1" applyBorder="1" applyAlignment="1">
      <alignment horizontal="centerContinuous"/>
    </xf>
    <xf numFmtId="1" fontId="0" fillId="8" borderId="27" xfId="0" applyNumberFormat="1" applyFill="1" applyBorder="1" applyAlignment="1">
      <alignment/>
    </xf>
    <xf numFmtId="3" fontId="0" fillId="8" borderId="27" xfId="0" applyNumberFormat="1" applyFill="1" applyBorder="1" applyAlignment="1">
      <alignment/>
    </xf>
    <xf numFmtId="0" fontId="0" fillId="8" borderId="27" xfId="0" applyFill="1" applyBorder="1" applyAlignment="1">
      <alignment/>
    </xf>
    <xf numFmtId="0" fontId="0" fillId="0" borderId="0" xfId="0" applyFill="1" applyBorder="1" applyAlignment="1" quotePrefix="1">
      <alignment/>
    </xf>
    <xf numFmtId="4" fontId="0" fillId="0" borderId="0" xfId="0" applyNumberFormat="1" applyFill="1" applyBorder="1" applyAlignment="1">
      <alignment/>
    </xf>
    <xf numFmtId="0" fontId="3" fillId="8" borderId="30" xfId="0" applyFont="1" applyFill="1" applyBorder="1" applyAlignment="1">
      <alignment/>
    </xf>
    <xf numFmtId="0" fontId="3" fillId="0" borderId="0" xfId="0" applyFont="1" applyFill="1" applyBorder="1" applyAlignment="1">
      <alignment/>
    </xf>
    <xf numFmtId="1" fontId="0" fillId="8" borderId="38" xfId="0" applyNumberFormat="1" applyFill="1" applyBorder="1" applyAlignment="1">
      <alignment horizontal="right"/>
    </xf>
    <xf numFmtId="166" fontId="0" fillId="8" borderId="30" xfId="0" applyNumberFormat="1" applyFont="1" applyFill="1" applyBorder="1" applyAlignment="1">
      <alignment/>
    </xf>
    <xf numFmtId="1" fontId="0" fillId="8" borderId="30" xfId="0" applyNumberFormat="1" applyFill="1" applyBorder="1" applyAlignment="1">
      <alignment/>
    </xf>
    <xf numFmtId="0" fontId="4" fillId="0" borderId="10" xfId="0" applyFont="1" applyBorder="1" applyAlignment="1">
      <alignment/>
    </xf>
    <xf numFmtId="2" fontId="0" fillId="0" borderId="27" xfId="0" applyNumberFormat="1" applyBorder="1" applyAlignment="1">
      <alignment/>
    </xf>
    <xf numFmtId="0" fontId="0" fillId="0" borderId="26" xfId="0" applyBorder="1" applyAlignment="1">
      <alignment/>
    </xf>
    <xf numFmtId="0" fontId="0" fillId="0" borderId="0" xfId="0" applyAlignment="1">
      <alignment wrapText="1"/>
    </xf>
    <xf numFmtId="0" fontId="0" fillId="0" borderId="10" xfId="0" applyBorder="1" applyAlignment="1">
      <alignment horizontal="left" indent="1"/>
    </xf>
    <xf numFmtId="0" fontId="0" fillId="0" borderId="13" xfId="0" applyBorder="1" applyAlignment="1">
      <alignment horizontal="left" indent="1"/>
    </xf>
    <xf numFmtId="0" fontId="0" fillId="0" borderId="0" xfId="0" applyFont="1" applyAlignment="1">
      <alignment horizontal="left" vertical="top" wrapText="1"/>
    </xf>
    <xf numFmtId="0" fontId="3" fillId="0" borderId="11" xfId="0" applyFont="1" applyFill="1" applyBorder="1" applyAlignment="1">
      <alignment/>
    </xf>
    <xf numFmtId="0" fontId="3" fillId="8" borderId="27" xfId="0" applyFont="1" applyFill="1" applyBorder="1" applyAlignment="1">
      <alignment/>
    </xf>
    <xf numFmtId="0" fontId="0" fillId="8" borderId="27" xfId="0" applyNumberFormat="1" applyFill="1" applyBorder="1" applyAlignment="1">
      <alignment/>
    </xf>
    <xf numFmtId="0" fontId="9" fillId="0" borderId="0" xfId="0" applyFont="1" applyAlignment="1">
      <alignment vertical="top"/>
    </xf>
    <xf numFmtId="0" fontId="0" fillId="0" borderId="18" xfId="0" applyBorder="1" applyAlignment="1">
      <alignment/>
    </xf>
    <xf numFmtId="0" fontId="0" fillId="0" borderId="15" xfId="0" applyBorder="1" applyAlignment="1">
      <alignment/>
    </xf>
    <xf numFmtId="0" fontId="0" fillId="8" borderId="38" xfId="0" applyFill="1" applyBorder="1" applyAlignment="1">
      <alignment horizontal="center"/>
    </xf>
    <xf numFmtId="0" fontId="2" fillId="8" borderId="25" xfId="0" applyFont="1" applyFill="1" applyBorder="1" applyAlignment="1">
      <alignment horizontal="center"/>
    </xf>
    <xf numFmtId="0" fontId="0" fillId="0" borderId="20" xfId="0" applyFill="1" applyBorder="1" applyAlignment="1">
      <alignment horizontal="left" indent="1"/>
    </xf>
    <xf numFmtId="1" fontId="0" fillId="8" borderId="28" xfId="0" applyNumberFormat="1" applyFont="1" applyFill="1" applyBorder="1" applyAlignment="1">
      <alignment horizontal="center"/>
    </xf>
    <xf numFmtId="1" fontId="0" fillId="8" borderId="27" xfId="0" applyNumberFormat="1" applyFont="1" applyFill="1" applyBorder="1" applyAlignment="1">
      <alignment horizontal="center"/>
    </xf>
    <xf numFmtId="166" fontId="0" fillId="0" borderId="0" xfId="0" applyNumberFormat="1" applyFont="1" applyFill="1" applyBorder="1" applyAlignment="1">
      <alignment horizontal="right"/>
    </xf>
    <xf numFmtId="2" fontId="0" fillId="0" borderId="0" xfId="0" applyNumberFormat="1" applyFont="1" applyAlignment="1">
      <alignment/>
    </xf>
    <xf numFmtId="0" fontId="9" fillId="0" borderId="0" xfId="0" applyFont="1" applyFill="1" applyAlignment="1">
      <alignment vertical="top"/>
    </xf>
    <xf numFmtId="0" fontId="0" fillId="0" borderId="27" xfId="0" applyFill="1" applyBorder="1" applyAlignment="1">
      <alignment horizontal="center"/>
    </xf>
    <xf numFmtId="0" fontId="0" fillId="0" borderId="59" xfId="0" applyFill="1" applyBorder="1" applyAlignment="1">
      <alignment horizontal="center"/>
    </xf>
    <xf numFmtId="0" fontId="0" fillId="0" borderId="60" xfId="0" applyFill="1" applyBorder="1" applyAlignment="1">
      <alignment horizontal="center"/>
    </xf>
    <xf numFmtId="0" fontId="0" fillId="0" borderId="61" xfId="0" applyFill="1" applyBorder="1" applyAlignment="1">
      <alignment horizontal="center"/>
    </xf>
    <xf numFmtId="0" fontId="0" fillId="0" borderId="24" xfId="0" applyFill="1" applyBorder="1" applyAlignment="1">
      <alignment horizontal="center"/>
    </xf>
    <xf numFmtId="0" fontId="0" fillId="0" borderId="62" xfId="0" applyFill="1" applyBorder="1" applyAlignment="1">
      <alignment/>
    </xf>
    <xf numFmtId="0" fontId="0" fillId="0" borderId="48" xfId="0" applyFill="1" applyBorder="1" applyAlignment="1">
      <alignment horizontal="center"/>
    </xf>
    <xf numFmtId="0" fontId="0" fillId="0" borderId="63" xfId="0" applyFill="1" applyBorder="1" applyAlignment="1">
      <alignment horizontal="center"/>
    </xf>
    <xf numFmtId="0" fontId="0" fillId="0" borderId="0" xfId="0" applyAlignment="1">
      <alignment horizontal="left" vertical="top" wrapText="1"/>
    </xf>
    <xf numFmtId="3" fontId="2" fillId="0" borderId="0" xfId="0" applyNumberFormat="1" applyFont="1" applyFill="1" applyBorder="1" applyAlignment="1">
      <alignment horizontal="center"/>
    </xf>
    <xf numFmtId="1" fontId="0" fillId="0" borderId="0" xfId="0" applyNumberFormat="1" applyFill="1" applyAlignment="1">
      <alignment/>
    </xf>
    <xf numFmtId="1" fontId="0" fillId="8" borderId="30" xfId="0" applyNumberFormat="1" applyFont="1" applyFill="1" applyBorder="1" applyAlignment="1">
      <alignment horizontal="right"/>
    </xf>
    <xf numFmtId="0" fontId="0" fillId="0" borderId="20" xfId="0" applyFont="1" applyFill="1" applyBorder="1" applyAlignment="1">
      <alignment/>
    </xf>
    <xf numFmtId="1" fontId="0" fillId="8" borderId="29" xfId="0" applyNumberFormat="1" applyFill="1" applyBorder="1" applyAlignment="1">
      <alignment horizontal="right"/>
    </xf>
    <xf numFmtId="0" fontId="0" fillId="0" borderId="26" xfId="0" applyFont="1" applyBorder="1" applyAlignment="1">
      <alignment vertical="center"/>
    </xf>
    <xf numFmtId="1" fontId="0" fillId="8" borderId="30" xfId="0" applyNumberFormat="1" applyFill="1" applyBorder="1" applyAlignment="1">
      <alignment horizontal="right"/>
    </xf>
    <xf numFmtId="0" fontId="0" fillId="0" borderId="0" xfId="0" applyFont="1" applyAlignment="1">
      <alignment horizontal="left" vertical="top" wrapText="1"/>
    </xf>
    <xf numFmtId="0" fontId="0" fillId="0" borderId="31" xfId="0" applyFill="1" applyBorder="1" applyAlignment="1">
      <alignment/>
    </xf>
    <xf numFmtId="0" fontId="0" fillId="0" borderId="33" xfId="0" applyFill="1" applyBorder="1" applyAlignment="1">
      <alignment/>
    </xf>
    <xf numFmtId="0" fontId="9" fillId="0" borderId="0" xfId="0" applyFont="1" applyBorder="1" applyAlignment="1">
      <alignment vertical="top" wrapText="1"/>
    </xf>
    <xf numFmtId="0" fontId="9" fillId="0" borderId="12" xfId="0" applyFont="1" applyBorder="1" applyAlignment="1">
      <alignment vertical="top" wrapText="1"/>
    </xf>
    <xf numFmtId="0" fontId="0" fillId="0" borderId="0" xfId="0" applyFont="1" applyAlignment="1">
      <alignment vertical="top" wrapText="1"/>
    </xf>
    <xf numFmtId="0" fontId="2" fillId="0" borderId="0" xfId="0" applyFont="1" applyAlignment="1">
      <alignment vertical="top"/>
    </xf>
    <xf numFmtId="0" fontId="24" fillId="0" borderId="0" xfId="0" applyFont="1" applyFill="1" applyBorder="1" applyAlignment="1">
      <alignment horizontal="center"/>
    </xf>
    <xf numFmtId="0" fontId="24" fillId="0" borderId="0" xfId="0" applyFont="1" applyFill="1" applyBorder="1" applyAlignment="1">
      <alignment horizontal="center" vertical="center" wrapText="1"/>
    </xf>
    <xf numFmtId="0" fontId="0" fillId="0" borderId="0" xfId="0" applyFill="1" applyAlignment="1">
      <alignment vertical="top" wrapText="1"/>
    </xf>
    <xf numFmtId="0" fontId="2" fillId="0" borderId="0" xfId="0" applyFont="1" applyFill="1" applyAlignment="1">
      <alignment/>
    </xf>
    <xf numFmtId="0" fontId="0" fillId="9" borderId="0" xfId="0" applyFill="1" applyAlignment="1">
      <alignment horizontal="center"/>
    </xf>
    <xf numFmtId="0" fontId="2" fillId="9" borderId="0" xfId="0" applyFont="1" applyFill="1" applyAlignment="1">
      <alignment horizontal="center"/>
    </xf>
    <xf numFmtId="0" fontId="2" fillId="2" borderId="10" xfId="0" applyFont="1" applyFill="1" applyBorder="1" applyAlignment="1">
      <alignment/>
    </xf>
    <xf numFmtId="0" fontId="2" fillId="2" borderId="18" xfId="0" applyFont="1" applyFill="1" applyBorder="1" applyAlignment="1">
      <alignment/>
    </xf>
    <xf numFmtId="0" fontId="2" fillId="2" borderId="41" xfId="0" applyFont="1" applyFill="1" applyBorder="1" applyAlignment="1">
      <alignment horizontal="center" textRotation="90" wrapText="1"/>
    </xf>
    <xf numFmtId="0" fontId="2" fillId="2" borderId="11" xfId="0" applyFont="1" applyFill="1" applyBorder="1" applyAlignment="1">
      <alignment horizontal="center" textRotation="90" wrapText="1"/>
    </xf>
    <xf numFmtId="0" fontId="2" fillId="2" borderId="0" xfId="0" applyFont="1" applyFill="1" applyBorder="1" applyAlignment="1">
      <alignment horizontal="center" textRotation="90" wrapText="1"/>
    </xf>
    <xf numFmtId="0" fontId="2" fillId="2" borderId="12" xfId="0" applyFont="1" applyFill="1" applyBorder="1" applyAlignment="1">
      <alignment horizontal="center" textRotation="90" wrapText="1"/>
    </xf>
    <xf numFmtId="0" fontId="2" fillId="2" borderId="10" xfId="0" applyFont="1" applyFill="1" applyBorder="1" applyAlignment="1">
      <alignment horizontal="center" textRotation="90"/>
    </xf>
    <xf numFmtId="0" fontId="2" fillId="2" borderId="17" xfId="0" applyFont="1" applyFill="1" applyBorder="1" applyAlignment="1">
      <alignment horizontal="center" textRotation="90"/>
    </xf>
    <xf numFmtId="0" fontId="2" fillId="2" borderId="0" xfId="0" applyFont="1" applyFill="1" applyAlignment="1">
      <alignment horizontal="left" textRotation="90" wrapText="1"/>
    </xf>
    <xf numFmtId="0" fontId="2" fillId="2" borderId="18" xfId="0" applyFont="1" applyFill="1" applyBorder="1" applyAlignment="1">
      <alignment horizontal="center" textRotation="90"/>
    </xf>
    <xf numFmtId="0" fontId="3" fillId="2" borderId="41" xfId="0" applyFont="1" applyFill="1" applyBorder="1" applyAlignment="1">
      <alignment horizontal="center" textRotation="90" wrapText="1"/>
    </xf>
    <xf numFmtId="0" fontId="0" fillId="2" borderId="64" xfId="0" applyFill="1" applyBorder="1" applyAlignment="1">
      <alignment/>
    </xf>
    <xf numFmtId="0" fontId="2" fillId="2" borderId="65" xfId="0" applyFont="1" applyFill="1" applyBorder="1" applyAlignment="1">
      <alignment/>
    </xf>
    <xf numFmtId="0" fontId="2" fillId="2" borderId="66" xfId="0" applyFont="1" applyFill="1" applyBorder="1" applyAlignment="1">
      <alignment horizontal="center"/>
    </xf>
    <xf numFmtId="0" fontId="2" fillId="2" borderId="64" xfId="0" applyFont="1" applyFill="1" applyBorder="1" applyAlignment="1">
      <alignment horizontal="center"/>
    </xf>
    <xf numFmtId="0" fontId="2" fillId="2" borderId="23" xfId="0" applyFont="1" applyFill="1" applyBorder="1" applyAlignment="1">
      <alignment horizontal="center"/>
    </xf>
    <xf numFmtId="0" fontId="2" fillId="2" borderId="65" xfId="0" applyFont="1" applyFill="1" applyBorder="1" applyAlignment="1">
      <alignment horizontal="center"/>
    </xf>
    <xf numFmtId="0" fontId="5" fillId="2" borderId="66" xfId="0" applyFont="1" applyFill="1" applyBorder="1" applyAlignment="1">
      <alignment/>
    </xf>
    <xf numFmtId="0" fontId="2" fillId="9" borderId="26" xfId="0" applyFont="1" applyFill="1" applyBorder="1" applyAlignment="1">
      <alignment/>
    </xf>
    <xf numFmtId="0" fontId="0" fillId="2" borderId="11" xfId="0" applyFill="1" applyBorder="1" applyAlignment="1">
      <alignment/>
    </xf>
    <xf numFmtId="0" fontId="0" fillId="2" borderId="0" xfId="0" applyFill="1" applyBorder="1" applyAlignment="1">
      <alignment/>
    </xf>
    <xf numFmtId="0" fontId="0" fillId="2" borderId="13" xfId="0" applyFill="1" applyBorder="1" applyAlignment="1">
      <alignment/>
    </xf>
    <xf numFmtId="0" fontId="0" fillId="2" borderId="14" xfId="0" applyFill="1" applyBorder="1" applyAlignment="1">
      <alignment/>
    </xf>
    <xf numFmtId="0" fontId="0" fillId="2" borderId="11" xfId="0" applyFont="1" applyFill="1" applyBorder="1" applyAlignment="1">
      <alignment horizontal="left"/>
    </xf>
    <xf numFmtId="0" fontId="0" fillId="2" borderId="11" xfId="0" applyFill="1" applyBorder="1" applyAlignment="1">
      <alignment horizontal="left"/>
    </xf>
    <xf numFmtId="0" fontId="0" fillId="2" borderId="13" xfId="0" applyFill="1" applyBorder="1" applyAlignment="1">
      <alignment horizontal="left"/>
    </xf>
    <xf numFmtId="0" fontId="0" fillId="2" borderId="11" xfId="0" applyFont="1" applyFill="1" applyBorder="1" applyAlignment="1" quotePrefix="1">
      <alignment horizontal="right"/>
    </xf>
    <xf numFmtId="0" fontId="0" fillId="2" borderId="12" xfId="0" applyFill="1" applyBorder="1" applyAlignment="1">
      <alignment/>
    </xf>
    <xf numFmtId="0" fontId="0" fillId="2" borderId="13" xfId="0" applyFont="1" applyFill="1" applyBorder="1" applyAlignment="1" quotePrefix="1">
      <alignment horizontal="right"/>
    </xf>
    <xf numFmtId="0" fontId="0" fillId="2" borderId="14" xfId="0" applyFont="1" applyFill="1" applyBorder="1" applyAlignment="1">
      <alignment/>
    </xf>
    <xf numFmtId="0" fontId="0" fillId="2" borderId="15" xfId="0" applyFill="1" applyBorder="1" applyAlignment="1">
      <alignment/>
    </xf>
    <xf numFmtId="0" fontId="2" fillId="2" borderId="14" xfId="0" applyFont="1" applyFill="1" applyBorder="1" applyAlignment="1">
      <alignment/>
    </xf>
    <xf numFmtId="0" fontId="0" fillId="2" borderId="65" xfId="0" applyFill="1" applyBorder="1" applyAlignment="1">
      <alignment/>
    </xf>
    <xf numFmtId="0" fontId="2" fillId="2" borderId="10" xfId="0" applyFont="1" applyFill="1" applyBorder="1" applyAlignment="1">
      <alignment horizontal="center"/>
    </xf>
    <xf numFmtId="0" fontId="2" fillId="2" borderId="67" xfId="0" applyFont="1" applyFill="1" applyBorder="1" applyAlignment="1">
      <alignment horizontal="center"/>
    </xf>
    <xf numFmtId="0" fontId="2" fillId="2" borderId="57" xfId="0" applyFont="1" applyFill="1" applyBorder="1" applyAlignment="1">
      <alignment/>
    </xf>
    <xf numFmtId="0" fontId="2" fillId="2" borderId="68" xfId="0" applyFont="1" applyFill="1" applyBorder="1" applyAlignment="1">
      <alignment horizontal="center"/>
    </xf>
    <xf numFmtId="0" fontId="2" fillId="2" borderId="69" xfId="0" applyFont="1" applyFill="1" applyBorder="1" applyAlignment="1">
      <alignment horizontal="center"/>
    </xf>
    <xf numFmtId="0" fontId="2" fillId="2" borderId="56" xfId="0" applyFont="1" applyFill="1" applyBorder="1" applyAlignment="1">
      <alignment/>
    </xf>
    <xf numFmtId="0" fontId="2" fillId="2" borderId="70" xfId="0" applyFont="1" applyFill="1" applyBorder="1" applyAlignment="1">
      <alignment horizontal="center"/>
    </xf>
    <xf numFmtId="0" fontId="2" fillId="0" borderId="0" xfId="0" applyFont="1" applyFill="1" applyAlignment="1">
      <alignment horizontal="center"/>
    </xf>
    <xf numFmtId="0" fontId="0" fillId="0" borderId="11" xfId="0" applyFill="1" applyBorder="1" applyAlignment="1">
      <alignment/>
    </xf>
    <xf numFmtId="0" fontId="0" fillId="0" borderId="0" xfId="0" applyFill="1" applyBorder="1" applyAlignment="1">
      <alignment/>
    </xf>
    <xf numFmtId="0" fontId="0" fillId="0" borderId="16" xfId="0" applyBorder="1" applyAlignment="1">
      <alignment/>
    </xf>
    <xf numFmtId="0" fontId="0" fillId="0" borderId="33" xfId="0" applyFill="1" applyBorder="1" applyAlignment="1">
      <alignment/>
    </xf>
    <xf numFmtId="0" fontId="0" fillId="0" borderId="31" xfId="0" applyFill="1" applyBorder="1" applyAlignment="1">
      <alignment/>
    </xf>
    <xf numFmtId="0" fontId="0" fillId="0" borderId="0" xfId="0" applyBorder="1" applyAlignment="1">
      <alignment/>
    </xf>
    <xf numFmtId="4" fontId="0" fillId="8" borderId="14" xfId="0" applyNumberFormat="1" applyFill="1" applyBorder="1" applyAlignment="1">
      <alignment horizontal="center"/>
    </xf>
    <xf numFmtId="0" fontId="2" fillId="2" borderId="14" xfId="0" applyFont="1" applyFill="1" applyBorder="1" applyAlignment="1">
      <alignment horizontal="center"/>
    </xf>
    <xf numFmtId="4" fontId="0" fillId="8" borderId="17" xfId="0" applyNumberFormat="1" applyFill="1" applyBorder="1" applyAlignment="1">
      <alignment horizontal="center"/>
    </xf>
    <xf numFmtId="4" fontId="0" fillId="8" borderId="0" xfId="0" applyNumberFormat="1" applyFill="1" applyBorder="1" applyAlignment="1">
      <alignment horizontal="center"/>
    </xf>
    <xf numFmtId="0" fontId="0" fillId="0" borderId="13" xfId="0" applyFill="1" applyBorder="1" applyAlignment="1">
      <alignment/>
    </xf>
    <xf numFmtId="0" fontId="0" fillId="0" borderId="14" xfId="0" applyFill="1" applyBorder="1" applyAlignment="1">
      <alignment/>
    </xf>
    <xf numFmtId="0" fontId="0" fillId="0" borderId="71" xfId="0" applyFill="1" applyBorder="1" applyAlignment="1">
      <alignment/>
    </xf>
    <xf numFmtId="0" fontId="0" fillId="0" borderId="62" xfId="0" applyFill="1" applyBorder="1" applyAlignment="1">
      <alignment/>
    </xf>
    <xf numFmtId="0" fontId="0" fillId="0" borderId="72" xfId="0" applyBorder="1" applyAlignment="1">
      <alignment/>
    </xf>
    <xf numFmtId="0" fontId="0" fillId="0" borderId="0" xfId="0" applyFont="1" applyFill="1" applyAlignment="1">
      <alignment/>
    </xf>
    <xf numFmtId="0" fontId="2" fillId="9" borderId="0" xfId="0" applyFont="1" applyFill="1" applyAlignment="1">
      <alignment horizontal="center" vertical="top"/>
    </xf>
    <xf numFmtId="0" fontId="0" fillId="0" borderId="71" xfId="0" applyFill="1" applyBorder="1" applyAlignment="1">
      <alignment/>
    </xf>
    <xf numFmtId="0" fontId="2" fillId="9" borderId="0" xfId="0" applyFont="1" applyFill="1" applyBorder="1" applyAlignment="1">
      <alignment horizontal="center"/>
    </xf>
    <xf numFmtId="0" fontId="2" fillId="0" borderId="0" xfId="0" applyFont="1" applyAlignment="1">
      <alignment horizontal="center" vertical="top" wrapText="1"/>
    </xf>
    <xf numFmtId="0" fontId="4" fillId="0" borderId="13" xfId="0" applyFont="1" applyFill="1" applyBorder="1" applyAlignment="1">
      <alignment/>
    </xf>
    <xf numFmtId="0" fontId="23" fillId="9" borderId="0" xfId="0" applyFont="1" applyFill="1" applyAlignment="1">
      <alignment horizontal="center" vertical="top"/>
    </xf>
    <xf numFmtId="0" fontId="2" fillId="9" borderId="0" xfId="0" applyFont="1" applyFill="1" applyBorder="1" applyAlignment="1">
      <alignment horizontal="center" vertical="top"/>
    </xf>
    <xf numFmtId="0" fontId="0" fillId="0" borderId="0" xfId="0" applyFont="1" applyAlignment="1">
      <alignment horizontal="center"/>
    </xf>
    <xf numFmtId="0" fontId="0" fillId="0" borderId="0" xfId="0" applyFont="1" applyAlignment="1">
      <alignment vertical="top"/>
    </xf>
    <xf numFmtId="0" fontId="0" fillId="0" borderId="0" xfId="0" applyFont="1" applyFill="1" applyBorder="1" applyAlignment="1">
      <alignment vertical="top"/>
    </xf>
    <xf numFmtId="0" fontId="0" fillId="0" borderId="0" xfId="0" applyFont="1" applyFill="1" applyBorder="1" applyAlignment="1">
      <alignment horizontal="centerContinuous" vertical="top"/>
    </xf>
    <xf numFmtId="0" fontId="0" fillId="0" borderId="0" xfId="0" applyFont="1" applyFill="1" applyBorder="1" applyAlignment="1" quotePrefix="1">
      <alignment vertical="top"/>
    </xf>
    <xf numFmtId="0" fontId="0" fillId="0" borderId="0" xfId="0" applyFont="1" applyFill="1" applyAlignment="1">
      <alignment vertical="top"/>
    </xf>
    <xf numFmtId="0" fontId="1" fillId="0" borderId="0" xfId="0" applyFont="1" applyFill="1" applyBorder="1" applyAlignment="1">
      <alignment/>
    </xf>
    <xf numFmtId="0" fontId="5" fillId="0" borderId="0" xfId="0" applyFont="1" applyBorder="1" applyAlignment="1">
      <alignment/>
    </xf>
    <xf numFmtId="0" fontId="0" fillId="6" borderId="11" xfId="0" applyFont="1" applyFill="1" applyBorder="1" applyAlignment="1">
      <alignment/>
    </xf>
    <xf numFmtId="0" fontId="0" fillId="8" borderId="59" xfId="0" applyFont="1" applyFill="1" applyBorder="1" applyAlignment="1">
      <alignment horizontal="center"/>
    </xf>
    <xf numFmtId="3" fontId="0" fillId="8" borderId="16" xfId="0" applyNumberFormat="1" applyFont="1" applyFill="1" applyBorder="1" applyAlignment="1">
      <alignment horizontal="center"/>
    </xf>
    <xf numFmtId="168" fontId="0" fillId="8" borderId="0" xfId="0" applyNumberFormat="1" applyFont="1" applyFill="1" applyBorder="1" applyAlignment="1">
      <alignment horizontal="center"/>
    </xf>
    <xf numFmtId="0" fontId="0" fillId="8" borderId="12" xfId="0" applyFont="1" applyFill="1" applyBorder="1" applyAlignment="1">
      <alignment horizontal="center"/>
    </xf>
    <xf numFmtId="164" fontId="0" fillId="2" borderId="24" xfId="0" applyNumberFormat="1" applyFont="1" applyFill="1" applyBorder="1" applyAlignment="1">
      <alignment horizontal="center"/>
    </xf>
    <xf numFmtId="3" fontId="0" fillId="2" borderId="27" xfId="0" applyNumberFormat="1" applyFont="1" applyFill="1" applyBorder="1" applyAlignment="1">
      <alignment horizontal="center"/>
    </xf>
    <xf numFmtId="3" fontId="0" fillId="8" borderId="0" xfId="0" applyNumberFormat="1" applyFont="1" applyFill="1" applyBorder="1" applyAlignment="1">
      <alignment horizontal="center"/>
    </xf>
    <xf numFmtId="3" fontId="0" fillId="8" borderId="27" xfId="0" applyNumberFormat="1" applyFont="1" applyFill="1" applyBorder="1" applyAlignment="1">
      <alignment horizontal="center"/>
    </xf>
    <xf numFmtId="9" fontId="0" fillId="8" borderId="12" xfId="59" applyFont="1" applyFill="1" applyBorder="1" applyAlignment="1">
      <alignment horizontal="center"/>
    </xf>
    <xf numFmtId="0" fontId="0" fillId="6" borderId="64" xfId="0" applyFont="1" applyFill="1" applyBorder="1" applyAlignment="1">
      <alignment/>
    </xf>
    <xf numFmtId="0" fontId="0" fillId="8" borderId="73" xfId="0" applyFont="1" applyFill="1" applyBorder="1" applyAlignment="1">
      <alignment horizontal="center"/>
    </xf>
    <xf numFmtId="3" fontId="0" fillId="8" borderId="22" xfId="0" applyNumberFormat="1" applyFont="1" applyFill="1" applyBorder="1" applyAlignment="1">
      <alignment horizontal="center"/>
    </xf>
    <xf numFmtId="168" fontId="0" fillId="8" borderId="23" xfId="0" applyNumberFormat="1" applyFont="1" applyFill="1" applyBorder="1" applyAlignment="1">
      <alignment horizontal="center"/>
    </xf>
    <xf numFmtId="0" fontId="0" fillId="8" borderId="74" xfId="0" applyFont="1" applyFill="1" applyBorder="1" applyAlignment="1">
      <alignment horizontal="center"/>
    </xf>
    <xf numFmtId="0" fontId="0" fillId="8" borderId="65" xfId="0" applyFont="1" applyFill="1" applyBorder="1" applyAlignment="1">
      <alignment horizontal="center"/>
    </xf>
    <xf numFmtId="164" fontId="0" fillId="2" borderId="51" xfId="0" applyNumberFormat="1" applyFont="1" applyFill="1" applyBorder="1" applyAlignment="1">
      <alignment horizontal="center"/>
    </xf>
    <xf numFmtId="3" fontId="0" fillId="2" borderId="48" xfId="0" applyNumberFormat="1" applyFont="1" applyFill="1" applyBorder="1" applyAlignment="1">
      <alignment horizontal="center"/>
    </xf>
    <xf numFmtId="0" fontId="0" fillId="6" borderId="13" xfId="0" applyFont="1" applyFill="1" applyBorder="1" applyAlignment="1">
      <alignment/>
    </xf>
    <xf numFmtId="2" fontId="0" fillId="8" borderId="75" xfId="0" applyNumberFormat="1" applyFont="1" applyFill="1" applyBorder="1" applyAlignment="1">
      <alignment horizontal="center"/>
    </xf>
    <xf numFmtId="3" fontId="0" fillId="8" borderId="55" xfId="0" applyNumberFormat="1" applyFont="1" applyFill="1" applyBorder="1" applyAlignment="1">
      <alignment horizontal="center"/>
    </xf>
    <xf numFmtId="3" fontId="0" fillId="8" borderId="30" xfId="0" applyNumberFormat="1" applyFont="1" applyFill="1" applyBorder="1" applyAlignment="1">
      <alignment horizontal="center"/>
    </xf>
    <xf numFmtId="0" fontId="0" fillId="8" borderId="15" xfId="0" applyFont="1" applyFill="1" applyBorder="1" applyAlignment="1">
      <alignment horizontal="center"/>
    </xf>
    <xf numFmtId="166" fontId="0" fillId="0" borderId="76" xfId="0" applyNumberFormat="1" applyFont="1" applyBorder="1" applyAlignment="1">
      <alignment horizontal="center"/>
    </xf>
    <xf numFmtId="168" fontId="0" fillId="0" borderId="77" xfId="0" applyNumberFormat="1" applyFont="1" applyBorder="1" applyAlignment="1">
      <alignment horizontal="center"/>
    </xf>
    <xf numFmtId="0" fontId="0" fillId="2" borderId="0" xfId="0" applyFont="1" applyFill="1" applyBorder="1" applyAlignment="1">
      <alignment/>
    </xf>
    <xf numFmtId="0" fontId="0" fillId="0" borderId="0" xfId="0" applyFont="1" applyBorder="1" applyAlignment="1">
      <alignment horizontal="center"/>
    </xf>
    <xf numFmtId="2" fontId="0" fillId="0" borderId="0" xfId="0" applyNumberFormat="1" applyFont="1" applyBorder="1" applyAlignment="1">
      <alignment horizontal="center"/>
    </xf>
    <xf numFmtId="166" fontId="0" fillId="0" borderId="0" xfId="0" applyNumberFormat="1" applyFont="1" applyBorder="1" applyAlignment="1">
      <alignment horizontal="center"/>
    </xf>
    <xf numFmtId="3" fontId="0" fillId="0" borderId="0" xfId="0" applyNumberFormat="1" applyFont="1" applyBorder="1" applyAlignment="1">
      <alignment horizontal="center"/>
    </xf>
    <xf numFmtId="4" fontId="0" fillId="0" borderId="0" xfId="0" applyNumberFormat="1" applyFont="1" applyBorder="1" applyAlignment="1">
      <alignment horizontal="center"/>
    </xf>
    <xf numFmtId="168" fontId="0" fillId="0" borderId="0" xfId="0" applyNumberFormat="1" applyFont="1" applyBorder="1" applyAlignment="1">
      <alignment horizontal="center"/>
    </xf>
    <xf numFmtId="3" fontId="0" fillId="0" borderId="17" xfId="0" applyNumberFormat="1" applyFont="1" applyBorder="1" applyAlignment="1">
      <alignment horizontal="center"/>
    </xf>
    <xf numFmtId="4" fontId="0" fillId="0" borderId="17" xfId="0" applyNumberFormat="1" applyFont="1" applyBorder="1" applyAlignment="1">
      <alignment horizontal="center"/>
    </xf>
    <xf numFmtId="168" fontId="0" fillId="0" borderId="18" xfId="0" applyNumberFormat="1" applyFont="1" applyBorder="1" applyAlignment="1">
      <alignment horizontal="center"/>
    </xf>
    <xf numFmtId="168" fontId="0" fillId="0" borderId="12" xfId="0" applyNumberFormat="1" applyFont="1" applyBorder="1" applyAlignment="1">
      <alignment horizontal="center"/>
    </xf>
    <xf numFmtId="166" fontId="0" fillId="0" borderId="0" xfId="0" applyNumberFormat="1" applyFont="1" applyFill="1" applyBorder="1" applyAlignment="1">
      <alignment horizontal="center"/>
    </xf>
    <xf numFmtId="0" fontId="0" fillId="0" borderId="11" xfId="0" applyFont="1" applyBorder="1" applyAlignment="1" applyProtection="1">
      <alignment/>
      <protection/>
    </xf>
    <xf numFmtId="0" fontId="0" fillId="0" borderId="11" xfId="0" applyFont="1" applyBorder="1" applyAlignment="1" applyProtection="1">
      <alignment vertical="top"/>
      <protection/>
    </xf>
    <xf numFmtId="0" fontId="0" fillId="0" borderId="11" xfId="0" applyFont="1" applyFill="1" applyBorder="1" applyAlignment="1" applyProtection="1">
      <alignment/>
      <protection/>
    </xf>
    <xf numFmtId="0" fontId="0" fillId="0" borderId="17" xfId="0" applyFont="1" applyBorder="1" applyAlignment="1">
      <alignment horizontal="left"/>
    </xf>
    <xf numFmtId="0" fontId="0" fillId="0" borderId="0" xfId="0" applyFont="1" applyBorder="1" applyAlignment="1">
      <alignment horizontal="left"/>
    </xf>
    <xf numFmtId="0" fontId="0" fillId="0" borderId="11" xfId="0" applyFont="1" applyFill="1" applyBorder="1" applyAlignment="1">
      <alignment vertical="center" wrapText="1"/>
    </xf>
    <xf numFmtId="0" fontId="0" fillId="0" borderId="14" xfId="0" applyFont="1" applyBorder="1" applyAlignment="1">
      <alignment horizontal="left"/>
    </xf>
    <xf numFmtId="0" fontId="0" fillId="6" borderId="24" xfId="0" applyFont="1" applyFill="1" applyBorder="1" applyAlignment="1">
      <alignment/>
    </xf>
    <xf numFmtId="3" fontId="0" fillId="8" borderId="52" xfId="0" applyNumberFormat="1" applyFont="1" applyFill="1" applyBorder="1" applyAlignment="1">
      <alignment horizontal="center"/>
    </xf>
    <xf numFmtId="3" fontId="0" fillId="0" borderId="27" xfId="0" applyNumberFormat="1" applyFont="1" applyBorder="1" applyAlignment="1">
      <alignment horizontal="center"/>
    </xf>
    <xf numFmtId="0" fontId="0" fillId="6" borderId="50" xfId="0" applyFont="1" applyFill="1" applyBorder="1" applyAlignment="1">
      <alignment/>
    </xf>
    <xf numFmtId="3" fontId="0" fillId="8" borderId="78" xfId="0" applyNumberFormat="1" applyFont="1" applyFill="1" applyBorder="1" applyAlignment="1">
      <alignment horizontal="center"/>
    </xf>
    <xf numFmtId="3" fontId="0" fillId="0" borderId="49" xfId="0" applyNumberFormat="1" applyFont="1" applyBorder="1" applyAlignment="1">
      <alignment horizontal="center"/>
    </xf>
    <xf numFmtId="0" fontId="0" fillId="0" borderId="46" xfId="0" applyFont="1" applyBorder="1" applyAlignment="1">
      <alignment horizontal="center"/>
    </xf>
    <xf numFmtId="0" fontId="0" fillId="0" borderId="10" xfId="0" applyFont="1" applyBorder="1" applyAlignment="1">
      <alignment horizontal="left"/>
    </xf>
    <xf numFmtId="0" fontId="0" fillId="0" borderId="11" xfId="0" applyFont="1" applyBorder="1" applyAlignment="1">
      <alignment horizontal="left"/>
    </xf>
    <xf numFmtId="0" fontId="0" fillId="0" borderId="11" xfId="0" applyFont="1" applyFill="1" applyBorder="1" applyAlignment="1">
      <alignment horizontal="left"/>
    </xf>
    <xf numFmtId="0" fontId="0" fillId="0" borderId="71" xfId="0" applyFont="1" applyFill="1" applyBorder="1" applyAlignment="1">
      <alignment horizontal="left"/>
    </xf>
    <xf numFmtId="3" fontId="0" fillId="8" borderId="48" xfId="0" applyNumberFormat="1" applyFont="1" applyFill="1" applyBorder="1" applyAlignment="1">
      <alignment horizontal="center"/>
    </xf>
    <xf numFmtId="0" fontId="0" fillId="0" borderId="62" xfId="0" applyFont="1" applyFill="1" applyBorder="1" applyAlignment="1">
      <alignment/>
    </xf>
    <xf numFmtId="0" fontId="0" fillId="0" borderId="79" xfId="0" applyFont="1" applyFill="1" applyBorder="1" applyAlignment="1">
      <alignment/>
    </xf>
    <xf numFmtId="0" fontId="0" fillId="0" borderId="12" xfId="0" applyFont="1" applyFill="1" applyBorder="1" applyAlignment="1">
      <alignment horizontal="center" vertical="center" wrapText="1"/>
    </xf>
    <xf numFmtId="0" fontId="0" fillId="0" borderId="0" xfId="0" applyFont="1" applyFill="1" applyBorder="1" applyAlignment="1">
      <alignment horizontal="center" vertical="center" wrapText="1"/>
    </xf>
    <xf numFmtId="169" fontId="0" fillId="0" borderId="0" xfId="0" applyNumberFormat="1" applyFont="1" applyFill="1" applyBorder="1" applyAlignment="1">
      <alignment horizontal="center" vertical="center" wrapText="1"/>
    </xf>
    <xf numFmtId="0" fontId="0" fillId="0" borderId="13" xfId="0" applyFont="1" applyFill="1" applyBorder="1" applyAlignment="1">
      <alignment vertical="center" wrapText="1"/>
    </xf>
    <xf numFmtId="4" fontId="0" fillId="0" borderId="0" xfId="0" applyNumberFormat="1" applyFont="1" applyFill="1" applyBorder="1" applyAlignment="1">
      <alignment horizontal="center"/>
    </xf>
    <xf numFmtId="168" fontId="0" fillId="0" borderId="12" xfId="0" applyNumberFormat="1" applyFont="1" applyFill="1" applyBorder="1" applyAlignment="1">
      <alignment horizontal="center"/>
    </xf>
    <xf numFmtId="0" fontId="25" fillId="0" borderId="12" xfId="0" applyFont="1" applyFill="1" applyBorder="1" applyAlignment="1">
      <alignment horizontal="center" vertical="center" wrapText="1"/>
    </xf>
    <xf numFmtId="0" fontId="24" fillId="0" borderId="14" xfId="0" applyFont="1" applyFill="1" applyBorder="1" applyAlignment="1">
      <alignment horizontal="center"/>
    </xf>
    <xf numFmtId="0" fontId="24" fillId="0" borderId="15" xfId="0" applyFont="1" applyFill="1" applyBorder="1" applyAlignment="1">
      <alignment horizontal="center" vertical="center" wrapText="1"/>
    </xf>
    <xf numFmtId="0" fontId="22" fillId="9" borderId="0" xfId="0" applyFont="1" applyFill="1" applyAlignment="1">
      <alignment horizontal="center"/>
    </xf>
    <xf numFmtId="0" fontId="2" fillId="9" borderId="0" xfId="0" applyFont="1" applyFill="1" applyBorder="1" applyAlignment="1">
      <alignment horizontal="center" vertical="center"/>
    </xf>
    <xf numFmtId="0" fontId="2" fillId="0" borderId="0" xfId="0" applyFont="1" applyAlignment="1">
      <alignment horizontal="left"/>
    </xf>
    <xf numFmtId="0" fontId="4" fillId="0" borderId="0" xfId="0" applyFont="1" applyAlignment="1">
      <alignment horizontal="left"/>
    </xf>
    <xf numFmtId="0" fontId="2" fillId="0" borderId="11" xfId="0" applyFont="1" applyFill="1" applyBorder="1" applyAlignment="1">
      <alignment horizontal="center"/>
    </xf>
    <xf numFmtId="0" fontId="2" fillId="0" borderId="13" xfId="0" applyFont="1" applyFill="1" applyBorder="1" applyAlignment="1">
      <alignment horizontal="center"/>
    </xf>
    <xf numFmtId="1" fontId="0" fillId="0" borderId="0" xfId="0" applyNumberFormat="1" applyFill="1" applyBorder="1" applyAlignment="1" applyProtection="1">
      <alignment/>
      <protection locked="0"/>
    </xf>
    <xf numFmtId="1" fontId="0" fillId="0" borderId="12" xfId="0" applyNumberFormat="1" applyFill="1" applyBorder="1" applyAlignment="1" applyProtection="1">
      <alignment/>
      <protection locked="0"/>
    </xf>
    <xf numFmtId="1" fontId="0" fillId="0" borderId="14" xfId="0" applyNumberFormat="1" applyFill="1" applyBorder="1" applyAlignment="1" applyProtection="1">
      <alignment/>
      <protection locked="0"/>
    </xf>
    <xf numFmtId="3" fontId="0" fillId="2" borderId="25" xfId="0" applyNumberFormat="1" applyFill="1" applyBorder="1" applyAlignment="1" applyProtection="1">
      <alignment/>
      <protection locked="0"/>
    </xf>
    <xf numFmtId="0" fontId="0" fillId="2" borderId="25" xfId="0" applyFill="1" applyBorder="1" applyAlignment="1" applyProtection="1">
      <alignment/>
      <protection locked="0"/>
    </xf>
    <xf numFmtId="0" fontId="2" fillId="0" borderId="12" xfId="0" applyFont="1" applyFill="1" applyBorder="1" applyAlignment="1" applyProtection="1">
      <alignment/>
      <protection locked="0"/>
    </xf>
    <xf numFmtId="1" fontId="0" fillId="0" borderId="37" xfId="0" applyNumberFormat="1" applyFill="1" applyBorder="1" applyAlignment="1" applyProtection="1">
      <alignment/>
      <protection locked="0"/>
    </xf>
    <xf numFmtId="0" fontId="2" fillId="0" borderId="15" xfId="0" applyFont="1" applyFill="1" applyBorder="1" applyAlignment="1" applyProtection="1">
      <alignment/>
      <protection locked="0"/>
    </xf>
    <xf numFmtId="1" fontId="0" fillId="0" borderId="38" xfId="0" applyNumberFormat="1" applyFill="1" applyBorder="1" applyAlignment="1" applyProtection="1">
      <alignment/>
      <protection locked="0"/>
    </xf>
    <xf numFmtId="1" fontId="0" fillId="0" borderId="15" xfId="0" applyNumberFormat="1" applyFill="1" applyBorder="1" applyAlignment="1" applyProtection="1">
      <alignment/>
      <protection locked="0"/>
    </xf>
    <xf numFmtId="0" fontId="0" fillId="0" borderId="25" xfId="0" applyFill="1" applyBorder="1" applyAlignment="1" applyProtection="1">
      <alignment horizontal="center"/>
      <protection locked="0"/>
    </xf>
    <xf numFmtId="0" fontId="2" fillId="0" borderId="26" xfId="0" applyFont="1" applyFill="1" applyBorder="1" applyAlignment="1" applyProtection="1">
      <alignment horizontal="center"/>
      <protection locked="0"/>
    </xf>
    <xf numFmtId="0" fontId="2" fillId="2" borderId="58" xfId="0" applyFont="1" applyFill="1" applyBorder="1" applyAlignment="1">
      <alignment/>
    </xf>
    <xf numFmtId="3" fontId="0" fillId="0" borderId="28" xfId="0" applyNumberFormat="1" applyFill="1" applyBorder="1" applyAlignment="1" applyProtection="1">
      <alignment/>
      <protection locked="0"/>
    </xf>
    <xf numFmtId="0" fontId="0" fillId="0" borderId="27" xfId="0" applyFill="1" applyBorder="1" applyAlignment="1" applyProtection="1">
      <alignment/>
      <protection locked="0"/>
    </xf>
    <xf numFmtId="0" fontId="0" fillId="0" borderId="30" xfId="0" applyBorder="1" applyAlignment="1" applyProtection="1">
      <alignment/>
      <protection locked="0"/>
    </xf>
    <xf numFmtId="0" fontId="0" fillId="0" borderId="28" xfId="0" applyFill="1" applyBorder="1" applyAlignment="1" applyProtection="1">
      <alignment/>
      <protection locked="0"/>
    </xf>
    <xf numFmtId="3" fontId="0" fillId="0" borderId="41" xfId="0" applyNumberFormat="1" applyBorder="1" applyAlignment="1" applyProtection="1">
      <alignment horizontal="right"/>
      <protection locked="0"/>
    </xf>
    <xf numFmtId="3" fontId="0" fillId="0" borderId="37" xfId="0" applyNumberFormat="1" applyBorder="1" applyAlignment="1" applyProtection="1">
      <alignment horizontal="right"/>
      <protection locked="0"/>
    </xf>
    <xf numFmtId="0" fontId="0" fillId="0" borderId="37" xfId="0" applyBorder="1" applyAlignment="1" applyProtection="1">
      <alignment horizontal="right"/>
      <protection locked="0"/>
    </xf>
    <xf numFmtId="0" fontId="0" fillId="0" borderId="41" xfId="0" applyBorder="1" applyAlignment="1" applyProtection="1">
      <alignment/>
      <protection locked="0"/>
    </xf>
    <xf numFmtId="0" fontId="0" fillId="0" borderId="37" xfId="0" applyBorder="1" applyAlignment="1" applyProtection="1">
      <alignment/>
      <protection locked="0"/>
    </xf>
    <xf numFmtId="0" fontId="0" fillId="0" borderId="37" xfId="0" applyFill="1" applyBorder="1" applyAlignment="1" applyProtection="1">
      <alignment/>
      <protection locked="0"/>
    </xf>
    <xf numFmtId="0" fontId="0" fillId="0" borderId="28" xfId="0" applyBorder="1" applyAlignment="1" applyProtection="1">
      <alignment/>
      <protection locked="0"/>
    </xf>
    <xf numFmtId="0" fontId="0" fillId="2" borderId="27" xfId="0" applyFill="1" applyBorder="1" applyAlignment="1" applyProtection="1">
      <alignment horizontal="right"/>
      <protection locked="0"/>
    </xf>
    <xf numFmtId="0" fontId="0" fillId="0" borderId="27" xfId="0" applyBorder="1" applyAlignment="1" applyProtection="1">
      <alignment/>
      <protection locked="0"/>
    </xf>
    <xf numFmtId="3" fontId="0" fillId="0" borderId="27" xfId="0" applyNumberFormat="1" applyBorder="1" applyAlignment="1" applyProtection="1">
      <alignment/>
      <protection locked="0"/>
    </xf>
    <xf numFmtId="0" fontId="0" fillId="6" borderId="59" xfId="0" applyFill="1" applyBorder="1" applyAlignment="1" applyProtection="1">
      <alignment horizontal="center"/>
      <protection locked="0"/>
    </xf>
    <xf numFmtId="0" fontId="0" fillId="6" borderId="75" xfId="0" applyFill="1" applyBorder="1" applyAlignment="1" applyProtection="1">
      <alignment horizontal="center"/>
      <protection locked="0"/>
    </xf>
    <xf numFmtId="0" fontId="0" fillId="8" borderId="61" xfId="0" applyFont="1" applyFill="1" applyBorder="1" applyAlignment="1" applyProtection="1">
      <alignment horizontal="center"/>
      <protection/>
    </xf>
    <xf numFmtId="0" fontId="0" fillId="8" borderId="59" xfId="0" applyFont="1" applyFill="1" applyBorder="1" applyAlignment="1" applyProtection="1">
      <alignment horizontal="center"/>
      <protection/>
    </xf>
    <xf numFmtId="0" fontId="0" fillId="6" borderId="27" xfId="0" applyFill="1" applyBorder="1" applyAlignment="1" applyProtection="1">
      <alignment/>
      <protection locked="0"/>
    </xf>
    <xf numFmtId="0" fontId="0" fillId="18" borderId="37" xfId="0" applyFill="1" applyBorder="1" applyAlignment="1" applyProtection="1">
      <alignment horizontal="right"/>
      <protection locked="0"/>
    </xf>
    <xf numFmtId="0" fontId="0" fillId="6" borderId="37" xfId="0" applyFill="1" applyBorder="1" applyAlignment="1" applyProtection="1">
      <alignment/>
      <protection locked="0"/>
    </xf>
    <xf numFmtId="0" fontId="0" fillId="6" borderId="38" xfId="0" applyFill="1" applyBorder="1" applyAlignment="1" applyProtection="1">
      <alignment/>
      <protection locked="0"/>
    </xf>
    <xf numFmtId="0" fontId="0" fillId="6" borderId="30" xfId="0" applyFill="1" applyBorder="1" applyAlignment="1" applyProtection="1">
      <alignment/>
      <protection locked="0"/>
    </xf>
    <xf numFmtId="0" fontId="0" fillId="0" borderId="27" xfId="0" applyFill="1" applyBorder="1" applyAlignment="1" applyProtection="1">
      <alignment horizontal="right"/>
      <protection locked="0"/>
    </xf>
    <xf numFmtId="0" fontId="0" fillId="6" borderId="27" xfId="0" applyFont="1" applyFill="1" applyBorder="1" applyAlignment="1" applyProtection="1">
      <alignment/>
      <protection locked="0"/>
    </xf>
    <xf numFmtId="0" fontId="0" fillId="0" borderId="27" xfId="0" applyFont="1" applyFill="1" applyBorder="1" applyAlignment="1" applyProtection="1">
      <alignment horizontal="right"/>
      <protection locked="0"/>
    </xf>
    <xf numFmtId="0" fontId="0" fillId="6" borderId="30" xfId="0" applyFont="1" applyFill="1" applyBorder="1" applyAlignment="1" applyProtection="1">
      <alignment/>
      <protection locked="0"/>
    </xf>
    <xf numFmtId="168" fontId="0" fillId="0" borderId="27" xfId="0" applyNumberFormat="1" applyFont="1" applyFill="1" applyBorder="1" applyAlignment="1" applyProtection="1">
      <alignment horizontal="right" vertical="center" wrapText="1"/>
      <protection locked="0"/>
    </xf>
    <xf numFmtId="3" fontId="0" fillId="0" borderId="28" xfId="0" applyNumberFormat="1" applyFont="1" applyFill="1" applyBorder="1" applyAlignment="1" applyProtection="1">
      <alignment/>
      <protection locked="0"/>
    </xf>
    <xf numFmtId="3" fontId="0" fillId="0" borderId="28" xfId="0" applyNumberFormat="1" applyFill="1" applyBorder="1" applyAlignment="1" applyProtection="1">
      <alignment horizontal="right"/>
      <protection locked="0"/>
    </xf>
    <xf numFmtId="0" fontId="0" fillId="0" borderId="30" xfId="0" applyFill="1" applyBorder="1" applyAlignment="1" applyProtection="1">
      <alignment horizontal="right"/>
      <protection locked="0"/>
    </xf>
    <xf numFmtId="2" fontId="0" fillId="8" borderId="40" xfId="0" applyNumberFormat="1" applyFont="1" applyFill="1" applyBorder="1" applyAlignment="1">
      <alignment horizontal="center"/>
    </xf>
    <xf numFmtId="0" fontId="0" fillId="8" borderId="44" xfId="0" applyFont="1" applyFill="1" applyBorder="1" applyAlignment="1">
      <alignment horizontal="center"/>
    </xf>
    <xf numFmtId="0" fontId="0" fillId="8" borderId="24" xfId="0" applyNumberFormat="1" applyFont="1" applyFill="1" applyBorder="1" applyAlignment="1">
      <alignment horizontal="center"/>
    </xf>
    <xf numFmtId="0" fontId="0" fillId="8" borderId="24" xfId="0" applyFont="1" applyFill="1" applyBorder="1" applyAlignment="1">
      <alignment horizontal="center"/>
    </xf>
    <xf numFmtId="0" fontId="0" fillId="8" borderId="21" xfId="0" applyFont="1" applyFill="1" applyBorder="1" applyAlignment="1">
      <alignment horizontal="center"/>
    </xf>
    <xf numFmtId="2" fontId="0" fillId="6" borderId="53" xfId="0" applyNumberFormat="1" applyFont="1" applyFill="1" applyBorder="1" applyAlignment="1" applyProtection="1">
      <alignment horizontal="center"/>
      <protection locked="0"/>
    </xf>
    <xf numFmtId="2" fontId="0" fillId="6" borderId="39" xfId="0" applyNumberFormat="1" applyFont="1" applyFill="1" applyBorder="1" applyAlignment="1" applyProtection="1">
      <alignment horizontal="center"/>
      <protection locked="0"/>
    </xf>
    <xf numFmtId="2" fontId="0" fillId="6" borderId="80" xfId="0" applyNumberFormat="1" applyFont="1" applyFill="1" applyBorder="1" applyAlignment="1" applyProtection="1">
      <alignment horizontal="center"/>
      <protection locked="0"/>
    </xf>
    <xf numFmtId="0" fontId="0" fillId="0" borderId="28" xfId="0" applyFill="1" applyBorder="1" applyAlignment="1" applyProtection="1">
      <alignment horizontal="right"/>
      <protection locked="0"/>
    </xf>
    <xf numFmtId="166" fontId="0" fillId="6" borderId="27" xfId="0" applyNumberFormat="1" applyFill="1" applyBorder="1" applyAlignment="1" applyProtection="1">
      <alignment horizontal="right"/>
      <protection locked="0"/>
    </xf>
    <xf numFmtId="166" fontId="0" fillId="0" borderId="27" xfId="0" applyNumberFormat="1" applyFill="1" applyBorder="1" applyAlignment="1" applyProtection="1">
      <alignment horizontal="right" vertical="top"/>
      <protection locked="0"/>
    </xf>
    <xf numFmtId="166" fontId="0" fillId="0" borderId="27" xfId="0" applyNumberFormat="1" applyFill="1" applyBorder="1" applyAlignment="1" applyProtection="1">
      <alignment horizontal="right"/>
      <protection locked="0"/>
    </xf>
    <xf numFmtId="0" fontId="0" fillId="0" borderId="28" xfId="0" applyFill="1" applyBorder="1" applyAlignment="1" applyProtection="1">
      <alignment horizontal="center"/>
      <protection locked="0"/>
    </xf>
    <xf numFmtId="3" fontId="0" fillId="0" borderId="27" xfId="0" applyNumberFormat="1" applyFill="1" applyBorder="1" applyAlignment="1" applyProtection="1">
      <alignment horizontal="center"/>
      <protection locked="0"/>
    </xf>
    <xf numFmtId="0" fontId="0" fillId="2" borderId="27" xfId="0" applyFont="1" applyFill="1" applyBorder="1" applyAlignment="1" applyProtection="1">
      <alignment horizontal="center"/>
      <protection locked="0"/>
    </xf>
    <xf numFmtId="0" fontId="2" fillId="2" borderId="28" xfId="0" applyFont="1" applyFill="1" applyBorder="1" applyAlignment="1" applyProtection="1">
      <alignment horizontal="center"/>
      <protection locked="0"/>
    </xf>
    <xf numFmtId="0" fontId="2" fillId="2" borderId="27" xfId="0" applyFont="1" applyFill="1" applyBorder="1" applyAlignment="1" applyProtection="1">
      <alignment horizontal="center"/>
      <protection locked="0"/>
    </xf>
    <xf numFmtId="0" fontId="0" fillId="2" borderId="27" xfId="0" applyFill="1" applyBorder="1" applyAlignment="1" applyProtection="1">
      <alignment horizontal="center"/>
      <protection locked="0"/>
    </xf>
    <xf numFmtId="3" fontId="0" fillId="2" borderId="27" xfId="0" applyNumberFormat="1" applyFill="1" applyBorder="1" applyAlignment="1" applyProtection="1">
      <alignment horizontal="center"/>
      <protection locked="0"/>
    </xf>
    <xf numFmtId="1" fontId="0" fillId="6" borderId="27" xfId="0" applyNumberFormat="1" applyFont="1" applyFill="1" applyBorder="1" applyAlignment="1" applyProtection="1">
      <alignment/>
      <protection locked="0"/>
    </xf>
    <xf numFmtId="2" fontId="0" fillId="0" borderId="28" xfId="0" applyNumberFormat="1" applyFont="1" applyFill="1" applyBorder="1" applyAlignment="1" applyProtection="1">
      <alignment horizontal="right"/>
      <protection locked="0"/>
    </xf>
    <xf numFmtId="2" fontId="0" fillId="0" borderId="27" xfId="0" applyNumberFormat="1" applyFont="1" applyFill="1" applyBorder="1" applyAlignment="1" applyProtection="1">
      <alignment/>
      <protection locked="0"/>
    </xf>
    <xf numFmtId="165" fontId="0" fillId="0" borderId="27" xfId="0" applyNumberFormat="1" applyFont="1" applyFill="1" applyBorder="1" applyAlignment="1" applyProtection="1">
      <alignment/>
      <protection locked="0"/>
    </xf>
    <xf numFmtId="4" fontId="0" fillId="0" borderId="27" xfId="0" applyNumberFormat="1" applyFont="1" applyFill="1" applyBorder="1" applyAlignment="1" applyProtection="1">
      <alignment/>
      <protection locked="0"/>
    </xf>
    <xf numFmtId="2" fontId="0" fillId="0" borderId="28" xfId="0" applyNumberFormat="1" applyFill="1" applyBorder="1" applyAlignment="1" applyProtection="1">
      <alignment/>
      <protection locked="0"/>
    </xf>
    <xf numFmtId="3" fontId="0" fillId="0" borderId="28" xfId="0" applyNumberFormat="1" applyBorder="1" applyAlignment="1" applyProtection="1">
      <alignment/>
      <protection locked="0"/>
    </xf>
    <xf numFmtId="166" fontId="0" fillId="0" borderId="30" xfId="0" applyNumberFormat="1" applyBorder="1" applyAlignment="1" applyProtection="1">
      <alignment/>
      <protection locked="0"/>
    </xf>
    <xf numFmtId="0" fontId="0" fillId="6" borderId="28" xfId="0" applyFill="1" applyBorder="1" applyAlignment="1" applyProtection="1">
      <alignment/>
      <protection locked="0"/>
    </xf>
    <xf numFmtId="1" fontId="0" fillId="0" borderId="28" xfId="0" applyNumberFormat="1" applyBorder="1" applyAlignment="1" applyProtection="1">
      <alignment/>
      <protection locked="0"/>
    </xf>
    <xf numFmtId="3" fontId="0" fillId="0" borderId="29" xfId="0" applyNumberFormat="1" applyBorder="1" applyAlignment="1" applyProtection="1">
      <alignment/>
      <protection locked="0"/>
    </xf>
    <xf numFmtId="3" fontId="0" fillId="0" borderId="27" xfId="0" applyNumberFormat="1" applyFill="1" applyBorder="1" applyAlignment="1" applyProtection="1">
      <alignment horizontal="right"/>
      <protection locked="0"/>
    </xf>
    <xf numFmtId="0" fontId="0" fillId="0" borderId="27" xfId="0" applyNumberFormat="1" applyBorder="1" applyAlignment="1" applyProtection="1">
      <alignment/>
      <protection locked="0"/>
    </xf>
    <xf numFmtId="0" fontId="0" fillId="0" borderId="27" xfId="0" applyNumberFormat="1" applyFill="1" applyBorder="1" applyAlignment="1" applyProtection="1">
      <alignment/>
      <protection locked="0"/>
    </xf>
    <xf numFmtId="0" fontId="0" fillId="0" borderId="41" xfId="0" applyBorder="1" applyAlignment="1" applyProtection="1">
      <alignment horizontal="center"/>
      <protection locked="0"/>
    </xf>
    <xf numFmtId="0" fontId="0" fillId="0" borderId="28" xfId="0" applyFont="1" applyBorder="1" applyAlignment="1" applyProtection="1">
      <alignment horizontal="center"/>
      <protection locked="0"/>
    </xf>
    <xf numFmtId="9" fontId="0" fillId="6" borderId="27" xfId="59" applyFont="1" applyFill="1" applyBorder="1" applyAlignment="1" applyProtection="1">
      <alignment horizontal="center"/>
      <protection locked="0"/>
    </xf>
    <xf numFmtId="0" fontId="0" fillId="6" borderId="27" xfId="0" applyFont="1" applyFill="1" applyBorder="1" applyAlignment="1" applyProtection="1">
      <alignment horizontal="center"/>
      <protection locked="0"/>
    </xf>
    <xf numFmtId="0" fontId="0" fillId="0" borderId="27" xfId="0" applyFont="1" applyBorder="1" applyAlignment="1" applyProtection="1">
      <alignment horizontal="center"/>
      <protection locked="0"/>
    </xf>
    <xf numFmtId="0" fontId="0" fillId="6" borderId="28" xfId="0" applyFont="1" applyFill="1" applyBorder="1" applyAlignment="1" applyProtection="1">
      <alignment horizontal="center"/>
      <protection locked="0"/>
    </xf>
    <xf numFmtId="1" fontId="0" fillId="2" borderId="27" xfId="0" applyNumberFormat="1" applyFont="1" applyFill="1" applyBorder="1" applyAlignment="1" applyProtection="1">
      <alignment horizontal="center"/>
      <protection locked="0"/>
    </xf>
    <xf numFmtId="3" fontId="0" fillId="0" borderId="12" xfId="0" applyNumberFormat="1" applyFont="1" applyFill="1" applyBorder="1" applyAlignment="1">
      <alignment horizontal="left"/>
    </xf>
    <xf numFmtId="2" fontId="0" fillId="0" borderId="27" xfId="0" applyNumberFormat="1" applyFill="1" applyBorder="1" applyAlignment="1" applyProtection="1">
      <alignment horizontal="right"/>
      <protection locked="0"/>
    </xf>
    <xf numFmtId="0" fontId="2" fillId="9" borderId="0" xfId="0" applyFont="1" applyFill="1" applyAlignment="1">
      <alignment horizontal="center" vertical="center"/>
    </xf>
    <xf numFmtId="0" fontId="4" fillId="0" borderId="11" xfId="0" applyFont="1" applyFill="1" applyBorder="1" applyAlignment="1">
      <alignment vertical="center"/>
    </xf>
    <xf numFmtId="0" fontId="0" fillId="0" borderId="0" xfId="0" applyFont="1" applyBorder="1" applyAlignment="1">
      <alignment horizontal="left" vertical="center"/>
    </xf>
    <xf numFmtId="9" fontId="0" fillId="8" borderId="27" xfId="0" applyNumberFormat="1" applyFont="1" applyFill="1" applyBorder="1" applyAlignment="1">
      <alignment horizontal="center" vertical="center" wrapText="1"/>
    </xf>
    <xf numFmtId="3" fontId="9" fillId="0" borderId="27" xfId="0" applyNumberFormat="1" applyFont="1" applyFill="1" applyBorder="1" applyAlignment="1" applyProtection="1">
      <alignment horizontal="center"/>
      <protection locked="0"/>
    </xf>
    <xf numFmtId="9" fontId="9" fillId="0" borderId="27" xfId="0" applyNumberFormat="1" applyFont="1" applyFill="1" applyBorder="1" applyAlignment="1" applyProtection="1">
      <alignment horizontal="center"/>
      <protection locked="0"/>
    </xf>
    <xf numFmtId="3" fontId="2" fillId="0" borderId="27" xfId="0" applyNumberFormat="1" applyFont="1" applyFill="1" applyBorder="1" applyAlignment="1" applyProtection="1">
      <alignment horizontal="center" vertical="center"/>
      <protection locked="0"/>
    </xf>
    <xf numFmtId="167" fontId="9" fillId="8" borderId="27" xfId="0" applyNumberFormat="1" applyFont="1" applyFill="1" applyBorder="1" applyAlignment="1">
      <alignment horizontal="center"/>
    </xf>
    <xf numFmtId="4" fontId="9" fillId="8" borderId="27" xfId="0" applyNumberFormat="1" applyFont="1" applyFill="1" applyBorder="1" applyAlignment="1">
      <alignment horizontal="center"/>
    </xf>
    <xf numFmtId="167" fontId="0" fillId="0" borderId="27" xfId="0" applyNumberFormat="1" applyFill="1" applyBorder="1" applyAlignment="1" applyProtection="1">
      <alignment/>
      <protection locked="0"/>
    </xf>
    <xf numFmtId="0" fontId="28" fillId="0" borderId="13" xfId="0" applyFont="1" applyFill="1" applyBorder="1" applyAlignment="1">
      <alignment/>
    </xf>
    <xf numFmtId="9" fontId="0" fillId="8" borderId="37" xfId="0" applyNumberFormat="1" applyFill="1" applyBorder="1" applyAlignment="1">
      <alignment horizontal="right"/>
    </xf>
    <xf numFmtId="0" fontId="10" fillId="0" borderId="0" xfId="53" applyAlignment="1" applyProtection="1">
      <alignment horizontal="right" vertical="top"/>
      <protection locked="0"/>
    </xf>
    <xf numFmtId="0" fontId="2" fillId="9" borderId="0" xfId="0" applyFont="1" applyFill="1" applyAlignment="1" applyProtection="1">
      <alignment horizontal="center" vertical="top"/>
      <protection/>
    </xf>
    <xf numFmtId="0" fontId="10" fillId="0" borderId="0" xfId="53" applyAlignment="1">
      <alignment/>
    </xf>
    <xf numFmtId="0" fontId="0" fillId="0" borderId="0" xfId="0" applyFont="1" applyAlignment="1" quotePrefix="1">
      <alignment/>
    </xf>
    <xf numFmtId="0" fontId="0" fillId="0" borderId="0" xfId="0" applyFill="1" applyBorder="1" applyAlignment="1">
      <alignment/>
    </xf>
    <xf numFmtId="0" fontId="9" fillId="0" borderId="0" xfId="0" applyFont="1" applyFill="1" applyAlignment="1">
      <alignment horizontal="left"/>
    </xf>
    <xf numFmtId="0" fontId="9" fillId="0" borderId="0" xfId="0" applyFont="1" applyFill="1" applyBorder="1" applyAlignment="1">
      <alignment horizontal="left"/>
    </xf>
    <xf numFmtId="0" fontId="0" fillId="0" borderId="0" xfId="0" applyFill="1" applyBorder="1" applyAlignment="1">
      <alignment/>
    </xf>
    <xf numFmtId="0" fontId="0" fillId="0" borderId="81" xfId="0" applyFont="1" applyFill="1" applyBorder="1" applyAlignment="1">
      <alignment/>
    </xf>
    <xf numFmtId="0" fontId="9" fillId="0" borderId="0" xfId="0" applyFont="1" applyFill="1" applyBorder="1" applyAlignment="1">
      <alignment/>
    </xf>
    <xf numFmtId="0" fontId="5" fillId="0" borderId="0" xfId="0" applyFont="1" applyBorder="1" applyAlignment="1">
      <alignment horizontal="left"/>
    </xf>
    <xf numFmtId="0" fontId="0" fillId="0" borderId="0" xfId="0" applyFont="1" applyBorder="1" applyAlignment="1">
      <alignment horizontal="left"/>
    </xf>
    <xf numFmtId="0" fontId="0" fillId="0" borderId="0" xfId="0" applyFont="1" applyFill="1" applyBorder="1" applyAlignment="1">
      <alignment horizontal="left" vertical="center" wrapText="1"/>
    </xf>
    <xf numFmtId="0" fontId="2" fillId="2" borderId="82" xfId="0" applyFont="1" applyFill="1" applyBorder="1" applyAlignment="1">
      <alignment horizontal="center"/>
    </xf>
    <xf numFmtId="0" fontId="2" fillId="2" borderId="19" xfId="0" applyFont="1" applyFill="1" applyBorder="1" applyAlignment="1">
      <alignment horizontal="center"/>
    </xf>
    <xf numFmtId="0" fontId="2" fillId="2" borderId="83" xfId="0" applyFont="1" applyFill="1" applyBorder="1" applyAlignment="1">
      <alignment horizontal="center"/>
    </xf>
    <xf numFmtId="0" fontId="2" fillId="9" borderId="83" xfId="0" applyFont="1" applyFill="1" applyBorder="1" applyAlignment="1">
      <alignment horizontal="center"/>
    </xf>
    <xf numFmtId="0" fontId="0" fillId="0" borderId="0" xfId="0" applyFont="1" applyFill="1" applyAlignment="1">
      <alignment horizontal="left" vertical="top" wrapText="1"/>
    </xf>
    <xf numFmtId="0" fontId="0" fillId="0" borderId="0" xfId="0" applyFill="1" applyAlignment="1">
      <alignment vertical="top" wrapText="1"/>
    </xf>
    <xf numFmtId="0" fontId="0" fillId="0" borderId="51" xfId="0" applyFill="1" applyBorder="1" applyAlignment="1">
      <alignment horizontal="center"/>
    </xf>
    <xf numFmtId="0" fontId="0" fillId="0" borderId="79" xfId="0" applyFill="1" applyBorder="1" applyAlignment="1">
      <alignment horizontal="center"/>
    </xf>
    <xf numFmtId="0" fontId="2" fillId="0" borderId="20" xfId="0" applyFont="1" applyBorder="1" applyAlignment="1">
      <alignment horizontal="center"/>
    </xf>
    <xf numFmtId="0" fontId="2" fillId="0" borderId="58" xfId="0" applyFont="1" applyBorder="1" applyAlignment="1">
      <alignment horizontal="center"/>
    </xf>
    <xf numFmtId="0" fontId="2" fillId="9" borderId="20" xfId="0" applyFont="1" applyFill="1" applyBorder="1" applyAlignment="1">
      <alignment horizontal="center"/>
    </xf>
    <xf numFmtId="0" fontId="2" fillId="9" borderId="19" xfId="0" applyFont="1" applyFill="1" applyBorder="1" applyAlignment="1">
      <alignment horizontal="center"/>
    </xf>
    <xf numFmtId="0" fontId="2" fillId="9" borderId="26" xfId="0" applyFont="1" applyFill="1" applyBorder="1" applyAlignment="1">
      <alignment horizontal="center"/>
    </xf>
    <xf numFmtId="0" fontId="2" fillId="2" borderId="56" xfId="0" applyFont="1" applyFill="1" applyBorder="1" applyAlignment="1">
      <alignment horizontal="center"/>
    </xf>
    <xf numFmtId="0" fontId="2" fillId="2" borderId="57" xfId="0" applyFont="1" applyFill="1" applyBorder="1" applyAlignment="1">
      <alignment horizontal="center"/>
    </xf>
    <xf numFmtId="0" fontId="2" fillId="2" borderId="58" xfId="0" applyFont="1" applyFill="1" applyBorder="1" applyAlignment="1">
      <alignment horizontal="center"/>
    </xf>
    <xf numFmtId="0" fontId="2" fillId="0" borderId="20" xfId="0" applyFont="1" applyBorder="1" applyAlignment="1">
      <alignment horizontal="center" vertical="center"/>
    </xf>
    <xf numFmtId="0" fontId="2" fillId="0" borderId="19" xfId="0" applyFont="1" applyBorder="1" applyAlignment="1">
      <alignment horizontal="center" vertical="center"/>
    </xf>
    <xf numFmtId="0" fontId="2" fillId="0" borderId="26" xfId="0" applyFont="1" applyBorder="1" applyAlignment="1">
      <alignment horizontal="center" vertical="center"/>
    </xf>
    <xf numFmtId="2" fontId="10" fillId="0" borderId="0" xfId="53" applyNumberFormat="1" applyAlignment="1" applyProtection="1">
      <alignment/>
      <protection locked="0"/>
    </xf>
    <xf numFmtId="0" fontId="10" fillId="0" borderId="0" xfId="53" applyFill="1" applyBorder="1" applyAlignment="1" applyProtection="1">
      <alignment/>
      <protection locked="0"/>
    </xf>
    <xf numFmtId="0" fontId="2" fillId="9" borderId="20" xfId="0" applyFont="1" applyFill="1" applyBorder="1" applyAlignment="1">
      <alignment/>
    </xf>
    <xf numFmtId="0" fontId="0" fillId="9" borderId="26" xfId="0" applyFill="1" applyBorder="1" applyAlignment="1">
      <alignment/>
    </xf>
    <xf numFmtId="0" fontId="0" fillId="0" borderId="0" xfId="0" applyFont="1" applyFill="1" applyAlignment="1">
      <alignment horizontal="left" vertical="top" wrapText="1"/>
    </xf>
    <xf numFmtId="0" fontId="0" fillId="0" borderId="0" xfId="0" applyAlignment="1">
      <alignment/>
    </xf>
    <xf numFmtId="0" fontId="0" fillId="0" borderId="24" xfId="0" applyFill="1" applyBorder="1" applyAlignment="1">
      <alignment horizontal="center"/>
    </xf>
    <xf numFmtId="0" fontId="0" fillId="0" borderId="12" xfId="0" applyFill="1" applyBorder="1" applyAlignment="1">
      <alignment horizontal="center"/>
    </xf>
    <xf numFmtId="0" fontId="2" fillId="2" borderId="10" xfId="0" applyFont="1" applyFill="1" applyBorder="1" applyAlignment="1">
      <alignment horizontal="center"/>
    </xf>
    <xf numFmtId="0" fontId="2" fillId="2" borderId="17" xfId="0" applyFont="1" applyFill="1" applyBorder="1" applyAlignment="1">
      <alignment horizontal="center"/>
    </xf>
    <xf numFmtId="0" fontId="2" fillId="2" borderId="18" xfId="0" applyFont="1" applyFill="1" applyBorder="1" applyAlignment="1">
      <alignment horizontal="center"/>
    </xf>
    <xf numFmtId="0" fontId="2" fillId="0" borderId="56" xfId="0" applyFont="1" applyBorder="1" applyAlignment="1">
      <alignment horizontal="center"/>
    </xf>
    <xf numFmtId="0" fontId="2" fillId="0" borderId="57" xfId="0" applyFont="1" applyBorder="1" applyAlignment="1">
      <alignment horizontal="center"/>
    </xf>
    <xf numFmtId="0" fontId="2" fillId="0" borderId="19" xfId="0" applyFont="1" applyBorder="1" applyAlignment="1">
      <alignment horizontal="center"/>
    </xf>
    <xf numFmtId="0" fontId="2" fillId="0" borderId="26" xfId="0" applyFont="1" applyBorder="1" applyAlignment="1">
      <alignment horizontal="center"/>
    </xf>
    <xf numFmtId="0" fontId="0" fillId="0" borderId="0" xfId="0" applyFont="1" applyAlignment="1">
      <alignment horizontal="left" vertical="top" wrapText="1"/>
    </xf>
    <xf numFmtId="0" fontId="0" fillId="0" borderId="0" xfId="0" applyFont="1" applyAlignment="1">
      <alignment horizontal="left" vertical="top" wrapText="1"/>
    </xf>
    <xf numFmtId="0" fontId="0" fillId="0" borderId="0" xfId="0" applyAlignment="1">
      <alignment vertical="top" wrapText="1"/>
    </xf>
    <xf numFmtId="2" fontId="0" fillId="0" borderId="0" xfId="0" applyNumberFormat="1" applyFont="1" applyAlignment="1">
      <alignment horizontal="left" vertical="top" wrapText="1"/>
    </xf>
    <xf numFmtId="0" fontId="2" fillId="2" borderId="64" xfId="0" applyFont="1" applyFill="1" applyBorder="1" applyAlignment="1">
      <alignment horizontal="center"/>
    </xf>
    <xf numFmtId="0" fontId="2" fillId="2" borderId="23" xfId="0" applyFont="1" applyFill="1" applyBorder="1" applyAlignment="1">
      <alignment horizontal="center"/>
    </xf>
    <xf numFmtId="0" fontId="2" fillId="2" borderId="65" xfId="0" applyFont="1" applyFill="1" applyBorder="1" applyAlignment="1">
      <alignment horizontal="center"/>
    </xf>
    <xf numFmtId="0" fontId="0" fillId="0" borderId="0" xfId="0" applyFont="1" applyFill="1" applyAlignment="1">
      <alignment vertical="top" wrapText="1"/>
    </xf>
    <xf numFmtId="0" fontId="2" fillId="6" borderId="51" xfId="0" applyFont="1" applyFill="1" applyBorder="1" applyAlignment="1">
      <alignment horizontal="center"/>
    </xf>
    <xf numFmtId="0" fontId="2" fillId="6" borderId="62" xfId="0" applyFont="1" applyFill="1" applyBorder="1" applyAlignment="1">
      <alignment horizontal="center"/>
    </xf>
    <xf numFmtId="0" fontId="2" fillId="6" borderId="43" xfId="0" applyFont="1" applyFill="1" applyBorder="1" applyAlignment="1">
      <alignment horizontal="center"/>
    </xf>
    <xf numFmtId="0" fontId="2" fillId="6" borderId="52" xfId="0" applyFont="1" applyFill="1" applyBorder="1" applyAlignment="1">
      <alignment horizontal="center"/>
    </xf>
    <xf numFmtId="0" fontId="2" fillId="6" borderId="45" xfId="0" applyFont="1" applyFill="1" applyBorder="1" applyAlignment="1">
      <alignment horizontal="center"/>
    </xf>
    <xf numFmtId="0" fontId="0" fillId="0" borderId="0" xfId="0" applyFont="1" applyAlignment="1">
      <alignment vertical="top" wrapText="1"/>
    </xf>
    <xf numFmtId="0" fontId="0" fillId="0" borderId="0" xfId="0" applyAlignment="1">
      <alignment wrapText="1"/>
    </xf>
    <xf numFmtId="0" fontId="0" fillId="0" borderId="0" xfId="0" applyFont="1" applyAlignment="1">
      <alignment wrapText="1"/>
    </xf>
    <xf numFmtId="0" fontId="0" fillId="0" borderId="0" xfId="0" applyAlignment="1">
      <alignment horizontal="left" vertical="top" wrapText="1"/>
    </xf>
    <xf numFmtId="0" fontId="0" fillId="0" borderId="0" xfId="0" applyAlignment="1">
      <alignment/>
    </xf>
    <xf numFmtId="0" fontId="0" fillId="2" borderId="0" xfId="0" applyFill="1" applyAlignment="1">
      <alignment vertical="top" wrapText="1"/>
    </xf>
    <xf numFmtId="0" fontId="0" fillId="2" borderId="0" xfId="0" applyFont="1" applyFill="1" applyAlignment="1">
      <alignment vertical="top" wrapText="1"/>
    </xf>
    <xf numFmtId="0" fontId="0" fillId="0" borderId="0" xfId="0" applyFont="1" applyAlignment="1">
      <alignment vertical="top" wrapText="1"/>
    </xf>
    <xf numFmtId="0" fontId="0" fillId="0" borderId="0" xfId="0" applyFont="1" applyAlignment="1">
      <alignment wrapText="1"/>
    </xf>
    <xf numFmtId="0" fontId="2" fillId="0" borderId="0" xfId="0" applyFont="1" applyFill="1" applyAlignment="1">
      <alignment/>
    </xf>
    <xf numFmtId="0" fontId="0" fillId="0" borderId="0" xfId="0" applyFill="1" applyAlignment="1">
      <alignment/>
    </xf>
    <xf numFmtId="0" fontId="0" fillId="0" borderId="0" xfId="0" applyFont="1" applyFill="1" applyAlignment="1">
      <alignment vertical="top" wrapText="1"/>
    </xf>
    <xf numFmtId="0" fontId="0" fillId="0" borderId="0" xfId="0" applyFill="1" applyAlignment="1">
      <alignment wrapText="1"/>
    </xf>
    <xf numFmtId="0" fontId="0" fillId="0" borderId="0" xfId="0" applyFont="1" applyFill="1" applyAlignment="1">
      <alignment vertical="top"/>
    </xf>
    <xf numFmtId="0" fontId="9" fillId="0" borderId="81" xfId="0" applyFont="1" applyFill="1" applyBorder="1" applyAlignment="1">
      <alignment/>
    </xf>
    <xf numFmtId="0" fontId="0" fillId="0" borderId="0" xfId="0" applyFill="1" applyBorder="1" applyAlignment="1">
      <alignment/>
    </xf>
    <xf numFmtId="0" fontId="0" fillId="0" borderId="84" xfId="0" applyFill="1" applyBorder="1" applyAlignment="1">
      <alignment/>
    </xf>
    <xf numFmtId="0" fontId="9" fillId="0" borderId="85" xfId="0" applyFont="1" applyFill="1" applyBorder="1" applyAlignment="1">
      <alignment horizontal="left" wrapText="1"/>
    </xf>
    <xf numFmtId="0" fontId="0" fillId="0" borderId="86" xfId="0" applyFill="1" applyBorder="1" applyAlignment="1">
      <alignment wrapText="1"/>
    </xf>
    <xf numFmtId="0" fontId="0" fillId="0" borderId="87" xfId="0" applyFill="1" applyBorder="1" applyAlignment="1">
      <alignment wrapText="1"/>
    </xf>
    <xf numFmtId="2" fontId="10" fillId="0" borderId="88" xfId="53" applyNumberFormat="1" applyBorder="1" applyAlignment="1" applyProtection="1">
      <alignment horizontal="left" vertical="center"/>
      <protection locked="0"/>
    </xf>
    <xf numFmtId="0" fontId="0" fillId="0" borderId="88" xfId="0" applyBorder="1" applyAlignment="1" applyProtection="1">
      <alignment horizontal="left" vertical="center"/>
      <protection locked="0"/>
    </xf>
    <xf numFmtId="0" fontId="2" fillId="6" borderId="42" xfId="0" applyFont="1" applyFill="1" applyBorder="1" applyAlignment="1">
      <alignment vertical="center"/>
    </xf>
    <xf numFmtId="0" fontId="0" fillId="0" borderId="48" xfId="0" applyBorder="1" applyAlignment="1">
      <alignment vertical="center"/>
    </xf>
    <xf numFmtId="0" fontId="9" fillId="0" borderId="89" xfId="0" applyFont="1" applyFill="1" applyBorder="1" applyAlignment="1">
      <alignment/>
    </xf>
    <xf numFmtId="0" fontId="0" fillId="0" borderId="0" xfId="0" applyFill="1" applyAlignment="1">
      <alignment/>
    </xf>
    <xf numFmtId="0" fontId="0" fillId="0" borderId="90" xfId="0" applyFill="1" applyBorder="1" applyAlignment="1">
      <alignment/>
    </xf>
    <xf numFmtId="0" fontId="9" fillId="0" borderId="0" xfId="0" applyFont="1" applyFill="1" applyBorder="1" applyAlignment="1">
      <alignment horizontal="left"/>
    </xf>
    <xf numFmtId="0" fontId="9" fillId="0" borderId="0" xfId="0" applyFont="1" applyFill="1" applyAlignment="1">
      <alignment horizontal="left"/>
    </xf>
    <xf numFmtId="0" fontId="2" fillId="6" borderId="41" xfId="0" applyFont="1" applyFill="1"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9" fillId="0" borderId="0" xfId="0" applyFont="1" applyBorder="1" applyAlignment="1">
      <alignment horizontal="left" vertical="top" wrapText="1"/>
    </xf>
    <xf numFmtId="0" fontId="0" fillId="0" borderId="0" xfId="0" applyBorder="1" applyAlignment="1">
      <alignment vertical="top" wrapText="1"/>
    </xf>
    <xf numFmtId="0" fontId="0" fillId="0" borderId="12" xfId="0" applyBorder="1" applyAlignment="1">
      <alignment vertical="top" wrapText="1"/>
    </xf>
    <xf numFmtId="0" fontId="9" fillId="0" borderId="0" xfId="0" applyFont="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solidFill>
                  <a:srgbClr val="000000"/>
                </a:solidFill>
                <a:latin typeface="Arial"/>
                <a:ea typeface="Arial"/>
                <a:cs typeface="Arial"/>
              </a:rPr>
              <a:t>24 hr 80%</a:t>
            </a:r>
          </a:p>
        </c:rich>
      </c:tx>
      <c:layout/>
      <c:spPr>
        <a:noFill/>
        <a:ln>
          <a:noFill/>
        </a:ln>
      </c:spPr>
    </c:title>
    <c:plotArea>
      <c:layout/>
      <c:scatterChart>
        <c:scatterStyle val="lineMarker"/>
        <c:varyColors val="0"/>
        <c:ser>
          <c:idx val="0"/>
          <c:order val="0"/>
          <c:tx>
            <c:strRef>
              <c:f>'1. WQv and WQf'!$AE$22</c:f>
              <c:strCache>
                <c:ptCount val="1"/>
                <c:pt idx="0">
                  <c:v>80%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txPr>
                <a:bodyPr vert="horz" rot="0" anchor="ctr"/>
                <a:lstStyle/>
                <a:p>
                  <a:pPr algn="ctr">
                    <a:defRPr lang="en-US" cap="none" sz="800" b="0" i="0" u="none" baseline="0">
                      <a:solidFill>
                        <a:srgbClr val="000000"/>
                      </a:solidFill>
                      <a:latin typeface="Arial"/>
                      <a:ea typeface="Arial"/>
                      <a:cs typeface="Arial"/>
                    </a:defRPr>
                  </a:pPr>
                </a:p>
              </c:txPr>
              <c:numFmt formatCode="General" sourceLinked="0"/>
              <c:showLegendKey val="0"/>
              <c:showVal val="0"/>
              <c:showBubbleSize val="0"/>
              <c:showCatName val="0"/>
              <c:showSerName val="1"/>
              <c:showPercent val="0"/>
            </c:dLbl>
            <c:numFmt formatCode="General" sourceLinked="0"/>
            <c:dLblPos val="r"/>
            <c:showLegendKey val="0"/>
            <c:showVal val="0"/>
            <c:showBubbleSize val="0"/>
            <c:showCatName val="1"/>
            <c:showSerName val="1"/>
            <c:showPercent val="0"/>
          </c:dLbls>
          <c:trendline>
            <c:spPr>
              <a:ln w="25400">
                <a:solidFill>
                  <a:srgbClr val="000000"/>
                </a:solidFill>
              </a:ln>
            </c:spPr>
            <c:trendlineType val="linear"/>
            <c:dispEq val="0"/>
            <c:dispRSqr val="0"/>
          </c:trendline>
          <c:xVal>
            <c:numRef>
              <c:f>'1. WQv and WQf'!$AE$23:$AE$42</c:f>
            </c:numRef>
          </c:xVal>
          <c:yVal>
            <c:numRef>
              <c:f>'1. WQv and WQf'!$AD$23:$AD$33</c:f>
            </c:numRef>
          </c:yVal>
          <c:smooth val="0"/>
        </c:ser>
        <c:axId val="65743761"/>
        <c:axId val="54822938"/>
      </c:scatterChart>
      <c:valAx>
        <c:axId val="65743761"/>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Unit basin storage volume (inches)</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54822938"/>
        <c:crosses val="autoZero"/>
        <c:crossBetween val="midCat"/>
        <c:dispUnits/>
      </c:valAx>
      <c:valAx>
        <c:axId val="54822938"/>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Composite C</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5743761"/>
        <c:crossesAt val="1"/>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3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solidFill>
                  <a:srgbClr val="000000"/>
                </a:solidFill>
                <a:latin typeface="Arial"/>
                <a:ea typeface="Arial"/>
                <a:cs typeface="Arial"/>
              </a:rPr>
              <a:t>24 hr 90%</a:t>
            </a:r>
          </a:p>
        </c:rich>
      </c:tx>
      <c:layout/>
      <c:spPr>
        <a:noFill/>
        <a:ln>
          <a:noFill/>
        </a:ln>
      </c:spPr>
    </c:title>
    <c:plotArea>
      <c:layout/>
      <c:scatterChart>
        <c:scatterStyle val="lineMarker"/>
        <c:varyColors val="0"/>
        <c:ser>
          <c:idx val="0"/>
          <c:order val="0"/>
          <c:tx>
            <c:strRef>
              <c:f>'1. WQv and WQf'!$AF$22</c:f>
              <c:strCache>
                <c:ptCount val="1"/>
                <c:pt idx="0">
                  <c:v>90%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txPr>
                <a:bodyPr vert="horz" rot="0" anchor="ctr"/>
                <a:lstStyle/>
                <a:p>
                  <a:pPr algn="ctr">
                    <a:defRPr lang="en-US" cap="none" sz="800" b="0" i="0" u="none" baseline="0">
                      <a:solidFill>
                        <a:srgbClr val="000000"/>
                      </a:solidFill>
                      <a:latin typeface="Arial"/>
                      <a:ea typeface="Arial"/>
                      <a:cs typeface="Arial"/>
                    </a:defRPr>
                  </a:pPr>
                </a:p>
              </c:txPr>
              <c:numFmt formatCode="General" sourceLinked="0"/>
              <c:showLegendKey val="0"/>
              <c:showVal val="0"/>
              <c:showBubbleSize val="0"/>
              <c:showCatName val="0"/>
              <c:showSerName val="1"/>
              <c:showPercent val="0"/>
            </c:dLbl>
            <c:numFmt formatCode="General" sourceLinked="0"/>
            <c:dLblPos val="r"/>
            <c:showLegendKey val="0"/>
            <c:showVal val="0"/>
            <c:showBubbleSize val="0"/>
            <c:showCatName val="1"/>
            <c:showSerName val="1"/>
            <c:showPercent val="0"/>
          </c:dLbls>
          <c:trendline>
            <c:spPr>
              <a:ln w="25400">
                <a:solidFill>
                  <a:srgbClr val="000000"/>
                </a:solidFill>
              </a:ln>
            </c:spPr>
            <c:trendlineType val="linear"/>
            <c:dispEq val="0"/>
            <c:dispRSqr val="0"/>
          </c:trendline>
          <c:xVal>
            <c:numRef>
              <c:f>'1. WQv and WQf'!$AF$23:$AF$42</c:f>
            </c:numRef>
          </c:xVal>
          <c:yVal>
            <c:numRef>
              <c:f>'1. WQv and WQf'!$AD$23:$AD$33</c:f>
            </c:numRef>
          </c:yVal>
          <c:smooth val="0"/>
        </c:ser>
        <c:axId val="23644395"/>
        <c:axId val="11472964"/>
      </c:scatterChart>
      <c:valAx>
        <c:axId val="23644395"/>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Unit basin storage volume (inches)</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11472964"/>
        <c:crosses val="autoZero"/>
        <c:crossBetween val="midCat"/>
        <c:dispUnits/>
      </c:valAx>
      <c:valAx>
        <c:axId val="11472964"/>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Composite C</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3644395"/>
        <c:crossesAt val="1"/>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48 hr 80%</a:t>
            </a:r>
          </a:p>
        </c:rich>
      </c:tx>
      <c:layout/>
      <c:spPr>
        <a:noFill/>
        <a:ln>
          <a:noFill/>
        </a:ln>
      </c:spPr>
    </c:title>
    <c:plotArea>
      <c:layout/>
      <c:scatterChart>
        <c:scatterStyle val="lineMarker"/>
        <c:varyColors val="0"/>
        <c:ser>
          <c:idx val="0"/>
          <c:order val="0"/>
          <c:tx>
            <c:strRef>
              <c:f>'1. WQv and WQf'!$AG$22</c:f>
              <c:strCache>
                <c:ptCount val="1"/>
                <c:pt idx="0">
                  <c:v>80%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txPr>
                <a:bodyPr vert="horz" rot="0" anchor="ctr"/>
                <a:lstStyle/>
                <a:p>
                  <a:pPr algn="ctr">
                    <a:defRPr lang="en-US" cap="none" sz="800" b="0" i="0" u="none" baseline="0">
                      <a:solidFill>
                        <a:srgbClr val="000000"/>
                      </a:solidFill>
                      <a:latin typeface="Arial"/>
                      <a:ea typeface="Arial"/>
                      <a:cs typeface="Arial"/>
                    </a:defRPr>
                  </a:pPr>
                </a:p>
              </c:txPr>
              <c:numFmt formatCode="General" sourceLinked="0"/>
              <c:showLegendKey val="0"/>
              <c:showVal val="0"/>
              <c:showBubbleSize val="0"/>
              <c:showCatName val="0"/>
              <c:showSerName val="1"/>
              <c:showPercent val="0"/>
            </c:dLbl>
            <c:numFmt formatCode="General" sourceLinked="0"/>
            <c:dLblPos val="r"/>
            <c:showLegendKey val="0"/>
            <c:showVal val="0"/>
            <c:showBubbleSize val="0"/>
            <c:showCatName val="1"/>
            <c:showSerName val="1"/>
            <c:showPercent val="0"/>
          </c:dLbls>
          <c:trendline>
            <c:spPr>
              <a:ln w="25400">
                <a:solidFill>
                  <a:srgbClr val="000000"/>
                </a:solidFill>
              </a:ln>
            </c:spPr>
            <c:trendlineType val="linear"/>
            <c:dispEq val="0"/>
            <c:dispRSqr val="0"/>
          </c:trendline>
          <c:xVal>
            <c:numRef>
              <c:f>'1. WQv and WQf'!$AG$23:$AG$42</c:f>
            </c:numRef>
          </c:xVal>
          <c:yVal>
            <c:numRef>
              <c:f>'1. WQv and WQf'!$AD$23:$AD$33</c:f>
            </c:numRef>
          </c:yVal>
          <c:smooth val="0"/>
        </c:ser>
        <c:axId val="36147813"/>
        <c:axId val="56894862"/>
      </c:scatterChart>
      <c:valAx>
        <c:axId val="36147813"/>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Unit basin storage volume (inches)</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56894862"/>
        <c:crosses val="autoZero"/>
        <c:crossBetween val="midCat"/>
        <c:dispUnits/>
      </c:valAx>
      <c:valAx>
        <c:axId val="56894862"/>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Composite C</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6147813"/>
        <c:crossesAt val="1"/>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3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48 hr 90%</a:t>
            </a:r>
          </a:p>
        </c:rich>
      </c:tx>
      <c:layout/>
      <c:spPr>
        <a:noFill/>
        <a:ln>
          <a:noFill/>
        </a:ln>
      </c:spPr>
    </c:title>
    <c:plotArea>
      <c:layout/>
      <c:scatterChart>
        <c:scatterStyle val="lineMarker"/>
        <c:varyColors val="0"/>
        <c:ser>
          <c:idx val="0"/>
          <c:order val="0"/>
          <c:tx>
            <c:strRef>
              <c:f>'1. WQv and WQf'!$AH$22</c:f>
              <c:strCache>
                <c:ptCount val="1"/>
                <c:pt idx="0">
                  <c:v>90%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txPr>
                <a:bodyPr vert="horz" rot="0" anchor="ctr"/>
                <a:lstStyle/>
                <a:p>
                  <a:pPr algn="ctr">
                    <a:defRPr lang="en-US" cap="none" sz="800" b="0" i="0" u="none" baseline="0">
                      <a:solidFill>
                        <a:srgbClr val="000000"/>
                      </a:solidFill>
                      <a:latin typeface="Arial"/>
                      <a:ea typeface="Arial"/>
                      <a:cs typeface="Arial"/>
                    </a:defRPr>
                  </a:pPr>
                </a:p>
              </c:txPr>
              <c:numFmt formatCode="General" sourceLinked="0"/>
              <c:showLegendKey val="0"/>
              <c:showVal val="0"/>
              <c:showBubbleSize val="0"/>
              <c:showCatName val="0"/>
              <c:showSerName val="1"/>
              <c:showPercent val="0"/>
            </c:dLbl>
            <c:numFmt formatCode="General" sourceLinked="0"/>
            <c:dLblPos val="r"/>
            <c:showLegendKey val="0"/>
            <c:showVal val="0"/>
            <c:showBubbleSize val="0"/>
            <c:showCatName val="1"/>
            <c:showSerName val="1"/>
            <c:showPercent val="0"/>
          </c:dLbls>
          <c:trendline>
            <c:spPr>
              <a:ln w="25400">
                <a:solidFill>
                  <a:srgbClr val="000000"/>
                </a:solidFill>
              </a:ln>
            </c:spPr>
            <c:trendlineType val="linear"/>
            <c:dispEq val="0"/>
            <c:dispRSqr val="0"/>
          </c:trendline>
          <c:xVal>
            <c:numRef>
              <c:f>'1. WQv and WQf'!$AH$23:$AH$42</c:f>
            </c:numRef>
          </c:xVal>
          <c:yVal>
            <c:numRef>
              <c:f>'1. WQv and WQf'!$AD$23:$AD$33</c:f>
            </c:numRef>
          </c:yVal>
          <c:smooth val="0"/>
        </c:ser>
        <c:axId val="42291711"/>
        <c:axId val="45081080"/>
      </c:scatterChart>
      <c:valAx>
        <c:axId val="42291711"/>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Unit basin storage volume (inches)</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45081080"/>
        <c:crosses val="autoZero"/>
        <c:crossBetween val="midCat"/>
        <c:dispUnits/>
      </c:valAx>
      <c:valAx>
        <c:axId val="45081080"/>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Composite C</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2291711"/>
        <c:crossesAt val="1"/>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0</xdr:colOff>
      <xdr:row>8</xdr:row>
      <xdr:rowOff>9525</xdr:rowOff>
    </xdr:from>
    <xdr:to>
      <xdr:col>39</xdr:col>
      <xdr:colOff>0</xdr:colOff>
      <xdr:row>13</xdr:row>
      <xdr:rowOff>95250</xdr:rowOff>
    </xdr:to>
    <xdr:graphicFrame>
      <xdr:nvGraphicFramePr>
        <xdr:cNvPr id="1" name="Chart 42"/>
        <xdr:cNvGraphicFramePr/>
      </xdr:nvGraphicFramePr>
      <xdr:xfrm>
        <a:off x="17630775" y="1390650"/>
        <a:ext cx="0" cy="2381250"/>
      </xdr:xfrm>
      <a:graphic>
        <a:graphicData uri="http://schemas.openxmlformats.org/drawingml/2006/chart">
          <c:chart xmlns:c="http://schemas.openxmlformats.org/drawingml/2006/chart" r:id="rId1"/>
        </a:graphicData>
      </a:graphic>
    </xdr:graphicFrame>
    <xdr:clientData/>
  </xdr:twoCellAnchor>
  <xdr:twoCellAnchor>
    <xdr:from>
      <xdr:col>36</xdr:col>
      <xdr:colOff>0</xdr:colOff>
      <xdr:row>15</xdr:row>
      <xdr:rowOff>0</xdr:rowOff>
    </xdr:from>
    <xdr:to>
      <xdr:col>41</xdr:col>
      <xdr:colOff>0</xdr:colOff>
      <xdr:row>28</xdr:row>
      <xdr:rowOff>104775</xdr:rowOff>
    </xdr:to>
    <xdr:graphicFrame>
      <xdr:nvGraphicFramePr>
        <xdr:cNvPr id="2" name="Chart 43"/>
        <xdr:cNvGraphicFramePr/>
      </xdr:nvGraphicFramePr>
      <xdr:xfrm>
        <a:off x="17630775" y="4000500"/>
        <a:ext cx="0" cy="2343150"/>
      </xdr:xfrm>
      <a:graphic>
        <a:graphicData uri="http://schemas.openxmlformats.org/drawingml/2006/chart">
          <c:chart xmlns:c="http://schemas.openxmlformats.org/drawingml/2006/chart" r:id="rId2"/>
        </a:graphicData>
      </a:graphic>
    </xdr:graphicFrame>
    <xdr:clientData/>
  </xdr:twoCellAnchor>
  <xdr:twoCellAnchor>
    <xdr:from>
      <xdr:col>36</xdr:col>
      <xdr:colOff>0</xdr:colOff>
      <xdr:row>30</xdr:row>
      <xdr:rowOff>9525</xdr:rowOff>
    </xdr:from>
    <xdr:to>
      <xdr:col>41</xdr:col>
      <xdr:colOff>0</xdr:colOff>
      <xdr:row>43</xdr:row>
      <xdr:rowOff>0</xdr:rowOff>
    </xdr:to>
    <xdr:graphicFrame>
      <xdr:nvGraphicFramePr>
        <xdr:cNvPr id="3" name="Chart 44"/>
        <xdr:cNvGraphicFramePr/>
      </xdr:nvGraphicFramePr>
      <xdr:xfrm>
        <a:off x="17630775" y="6591300"/>
        <a:ext cx="0" cy="2228850"/>
      </xdr:xfrm>
      <a:graphic>
        <a:graphicData uri="http://schemas.openxmlformats.org/drawingml/2006/chart">
          <c:chart xmlns:c="http://schemas.openxmlformats.org/drawingml/2006/chart" r:id="rId3"/>
        </a:graphicData>
      </a:graphic>
    </xdr:graphicFrame>
    <xdr:clientData/>
  </xdr:twoCellAnchor>
  <xdr:twoCellAnchor>
    <xdr:from>
      <xdr:col>36</xdr:col>
      <xdr:colOff>0</xdr:colOff>
      <xdr:row>44</xdr:row>
      <xdr:rowOff>133350</xdr:rowOff>
    </xdr:from>
    <xdr:to>
      <xdr:col>41</xdr:col>
      <xdr:colOff>0</xdr:colOff>
      <xdr:row>56</xdr:row>
      <xdr:rowOff>0</xdr:rowOff>
    </xdr:to>
    <xdr:graphicFrame>
      <xdr:nvGraphicFramePr>
        <xdr:cNvPr id="4" name="Chart 45"/>
        <xdr:cNvGraphicFramePr/>
      </xdr:nvGraphicFramePr>
      <xdr:xfrm>
        <a:off x="17630775" y="9124950"/>
        <a:ext cx="0" cy="1876425"/>
      </xdr:xfrm>
      <a:graphic>
        <a:graphicData uri="http://schemas.openxmlformats.org/drawingml/2006/chart">
          <c:chart xmlns:c="http://schemas.openxmlformats.org/drawingml/2006/chart" r:id="rId4"/>
        </a:graphicData>
      </a:graphic>
    </xdr:graphicFrame>
    <xdr:clientData/>
  </xdr:twoCellAnchor>
  <xdr:twoCellAnchor>
    <xdr:from>
      <xdr:col>6</xdr:col>
      <xdr:colOff>38100</xdr:colOff>
      <xdr:row>2</xdr:row>
      <xdr:rowOff>133350</xdr:rowOff>
    </xdr:from>
    <xdr:to>
      <xdr:col>17</xdr:col>
      <xdr:colOff>514350</xdr:colOff>
      <xdr:row>5</xdr:row>
      <xdr:rowOff>133350</xdr:rowOff>
    </xdr:to>
    <xdr:grpSp>
      <xdr:nvGrpSpPr>
        <xdr:cNvPr id="5" name="Group 15"/>
        <xdr:cNvGrpSpPr>
          <a:grpSpLocks/>
        </xdr:cNvGrpSpPr>
      </xdr:nvGrpSpPr>
      <xdr:grpSpPr>
        <a:xfrm>
          <a:off x="4829175" y="495300"/>
          <a:ext cx="6448425" cy="504825"/>
          <a:chOff x="665" y="56"/>
          <a:chExt cx="677" cy="55"/>
        </a:xfrm>
        <a:solidFill>
          <a:srgbClr val="FFFFFF"/>
        </a:solidFill>
      </xdr:grpSpPr>
      <xdr:sp>
        <xdr:nvSpPr>
          <xdr:cNvPr id="6" name="Text Box 7"/>
          <xdr:cNvSpPr txBox="1">
            <a:spLocks noChangeArrowheads="1"/>
          </xdr:cNvSpPr>
        </xdr:nvSpPr>
        <xdr:spPr>
          <a:xfrm>
            <a:off x="665" y="56"/>
            <a:ext cx="130" cy="55"/>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7" name="Rectangle 8"/>
          <xdr:cNvSpPr>
            <a:spLocks/>
          </xdr:cNvSpPr>
        </xdr:nvSpPr>
        <xdr:spPr>
          <a:xfrm>
            <a:off x="796" y="57"/>
            <a:ext cx="52"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Rectangle 9"/>
          <xdr:cNvSpPr>
            <a:spLocks/>
          </xdr:cNvSpPr>
        </xdr:nvSpPr>
        <xdr:spPr>
          <a:xfrm>
            <a:off x="796" y="74"/>
            <a:ext cx="52" cy="18"/>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Rectangle 10"/>
          <xdr:cNvSpPr>
            <a:spLocks/>
          </xdr:cNvSpPr>
        </xdr:nvSpPr>
        <xdr:spPr>
          <a:xfrm>
            <a:off x="796" y="92"/>
            <a:ext cx="52" cy="17"/>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Text Box 11"/>
          <xdr:cNvSpPr txBox="1">
            <a:spLocks noChangeArrowheads="1"/>
          </xdr:cNvSpPr>
        </xdr:nvSpPr>
        <xdr:spPr>
          <a:xfrm>
            <a:off x="852" y="57"/>
            <a:ext cx="490" cy="54"/>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3</xdr:row>
      <xdr:rowOff>0</xdr:rowOff>
    </xdr:from>
    <xdr:to>
      <xdr:col>4</xdr:col>
      <xdr:colOff>3371850</xdr:colOff>
      <xdr:row>6</xdr:row>
      <xdr:rowOff>57150</xdr:rowOff>
    </xdr:to>
    <xdr:grpSp>
      <xdr:nvGrpSpPr>
        <xdr:cNvPr id="1" name="Group 1"/>
        <xdr:cNvGrpSpPr>
          <a:grpSpLocks/>
        </xdr:cNvGrpSpPr>
      </xdr:nvGrpSpPr>
      <xdr:grpSpPr>
        <a:xfrm>
          <a:off x="190500" y="504825"/>
          <a:ext cx="7181850"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xdr:row>
      <xdr:rowOff>104775</xdr:rowOff>
    </xdr:from>
    <xdr:to>
      <xdr:col>3</xdr:col>
      <xdr:colOff>3543300</xdr:colOff>
      <xdr:row>6</xdr:row>
      <xdr:rowOff>0</xdr:rowOff>
    </xdr:to>
    <xdr:grpSp>
      <xdr:nvGrpSpPr>
        <xdr:cNvPr id="1" name="Group 1"/>
        <xdr:cNvGrpSpPr>
          <a:grpSpLocks/>
        </xdr:cNvGrpSpPr>
      </xdr:nvGrpSpPr>
      <xdr:grpSpPr>
        <a:xfrm>
          <a:off x="238125" y="466725"/>
          <a:ext cx="7372350"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2</xdr:row>
      <xdr:rowOff>123825</xdr:rowOff>
    </xdr:from>
    <xdr:to>
      <xdr:col>3</xdr:col>
      <xdr:colOff>3724275</xdr:colOff>
      <xdr:row>6</xdr:row>
      <xdr:rowOff>9525</xdr:rowOff>
    </xdr:to>
    <xdr:grpSp>
      <xdr:nvGrpSpPr>
        <xdr:cNvPr id="1" name="Group 1"/>
        <xdr:cNvGrpSpPr>
          <a:grpSpLocks/>
        </xdr:cNvGrpSpPr>
      </xdr:nvGrpSpPr>
      <xdr:grpSpPr>
        <a:xfrm>
          <a:off x="180975" y="485775"/>
          <a:ext cx="7610475" cy="533400"/>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2</xdr:row>
      <xdr:rowOff>85725</xdr:rowOff>
    </xdr:from>
    <xdr:to>
      <xdr:col>4</xdr:col>
      <xdr:colOff>2209800</xdr:colOff>
      <xdr:row>5</xdr:row>
      <xdr:rowOff>123825</xdr:rowOff>
    </xdr:to>
    <xdr:grpSp>
      <xdr:nvGrpSpPr>
        <xdr:cNvPr id="1" name="Group 1"/>
        <xdr:cNvGrpSpPr>
          <a:grpSpLocks/>
        </xdr:cNvGrpSpPr>
      </xdr:nvGrpSpPr>
      <xdr:grpSpPr>
        <a:xfrm>
          <a:off x="152400" y="447675"/>
          <a:ext cx="5962650" cy="52387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3</xdr:row>
      <xdr:rowOff>95250</xdr:rowOff>
    </xdr:from>
    <xdr:to>
      <xdr:col>6</xdr:col>
      <xdr:colOff>561975</xdr:colOff>
      <xdr:row>6</xdr:row>
      <xdr:rowOff>133350</xdr:rowOff>
    </xdr:to>
    <xdr:grpSp>
      <xdr:nvGrpSpPr>
        <xdr:cNvPr id="1" name="Group 1"/>
        <xdr:cNvGrpSpPr>
          <a:grpSpLocks/>
        </xdr:cNvGrpSpPr>
      </xdr:nvGrpSpPr>
      <xdr:grpSpPr>
        <a:xfrm>
          <a:off x="190500" y="581025"/>
          <a:ext cx="6991350"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85725</xdr:rowOff>
    </xdr:from>
    <xdr:to>
      <xdr:col>7</xdr:col>
      <xdr:colOff>342900</xdr:colOff>
      <xdr:row>5</xdr:row>
      <xdr:rowOff>123825</xdr:rowOff>
    </xdr:to>
    <xdr:grpSp>
      <xdr:nvGrpSpPr>
        <xdr:cNvPr id="1" name="Group 7"/>
        <xdr:cNvGrpSpPr>
          <a:grpSpLocks/>
        </xdr:cNvGrpSpPr>
      </xdr:nvGrpSpPr>
      <xdr:grpSpPr>
        <a:xfrm>
          <a:off x="228600" y="447675"/>
          <a:ext cx="8077200" cy="52387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2</xdr:row>
      <xdr:rowOff>104775</xdr:rowOff>
    </xdr:from>
    <xdr:to>
      <xdr:col>4</xdr:col>
      <xdr:colOff>4486275</xdr:colOff>
      <xdr:row>5</xdr:row>
      <xdr:rowOff>85725</xdr:rowOff>
    </xdr:to>
    <xdr:grpSp>
      <xdr:nvGrpSpPr>
        <xdr:cNvPr id="1" name="Group 1"/>
        <xdr:cNvGrpSpPr>
          <a:grpSpLocks/>
        </xdr:cNvGrpSpPr>
      </xdr:nvGrpSpPr>
      <xdr:grpSpPr>
        <a:xfrm>
          <a:off x="171450" y="466725"/>
          <a:ext cx="7696200"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xdr:row>
      <xdr:rowOff>123825</xdr:rowOff>
    </xdr:from>
    <xdr:to>
      <xdr:col>4</xdr:col>
      <xdr:colOff>2743200</xdr:colOff>
      <xdr:row>6</xdr:row>
      <xdr:rowOff>9525</xdr:rowOff>
    </xdr:to>
    <xdr:grpSp>
      <xdr:nvGrpSpPr>
        <xdr:cNvPr id="1" name="Group 1"/>
        <xdr:cNvGrpSpPr>
          <a:grpSpLocks/>
        </xdr:cNvGrpSpPr>
      </xdr:nvGrpSpPr>
      <xdr:grpSpPr>
        <a:xfrm>
          <a:off x="238125" y="485775"/>
          <a:ext cx="6943725" cy="533400"/>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2</xdr:row>
      <xdr:rowOff>104775</xdr:rowOff>
    </xdr:from>
    <xdr:to>
      <xdr:col>4</xdr:col>
      <xdr:colOff>3724275</xdr:colOff>
      <xdr:row>5</xdr:row>
      <xdr:rowOff>161925</xdr:rowOff>
    </xdr:to>
    <xdr:grpSp>
      <xdr:nvGrpSpPr>
        <xdr:cNvPr id="1" name="Group 1"/>
        <xdr:cNvGrpSpPr>
          <a:grpSpLocks/>
        </xdr:cNvGrpSpPr>
      </xdr:nvGrpSpPr>
      <xdr:grpSpPr>
        <a:xfrm>
          <a:off x="200025" y="466725"/>
          <a:ext cx="8067675"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2</xdr:row>
      <xdr:rowOff>104775</xdr:rowOff>
    </xdr:from>
    <xdr:to>
      <xdr:col>7</xdr:col>
      <xdr:colOff>1562100</xdr:colOff>
      <xdr:row>6</xdr:row>
      <xdr:rowOff>9525</xdr:rowOff>
    </xdr:to>
    <xdr:grpSp>
      <xdr:nvGrpSpPr>
        <xdr:cNvPr id="1" name="Group 1"/>
        <xdr:cNvGrpSpPr>
          <a:grpSpLocks/>
        </xdr:cNvGrpSpPr>
      </xdr:nvGrpSpPr>
      <xdr:grpSpPr>
        <a:xfrm>
          <a:off x="276225" y="466725"/>
          <a:ext cx="7610475" cy="552450"/>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xdr:row>
      <xdr:rowOff>85725</xdr:rowOff>
    </xdr:from>
    <xdr:to>
      <xdr:col>4</xdr:col>
      <xdr:colOff>3457575</xdr:colOff>
      <xdr:row>5</xdr:row>
      <xdr:rowOff>142875</xdr:rowOff>
    </xdr:to>
    <xdr:grpSp>
      <xdr:nvGrpSpPr>
        <xdr:cNvPr id="1" name="Group 1"/>
        <xdr:cNvGrpSpPr>
          <a:grpSpLocks/>
        </xdr:cNvGrpSpPr>
      </xdr:nvGrpSpPr>
      <xdr:grpSpPr>
        <a:xfrm>
          <a:off x="123825" y="447675"/>
          <a:ext cx="7991475"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133350</xdr:rowOff>
    </xdr:from>
    <xdr:to>
      <xdr:col>4</xdr:col>
      <xdr:colOff>1743075</xdr:colOff>
      <xdr:row>6</xdr:row>
      <xdr:rowOff>28575</xdr:rowOff>
    </xdr:to>
    <xdr:grpSp>
      <xdr:nvGrpSpPr>
        <xdr:cNvPr id="1" name="Group 1"/>
        <xdr:cNvGrpSpPr>
          <a:grpSpLocks/>
        </xdr:cNvGrpSpPr>
      </xdr:nvGrpSpPr>
      <xdr:grpSpPr>
        <a:xfrm>
          <a:off x="228600" y="495300"/>
          <a:ext cx="5905500" cy="542925"/>
          <a:chOff x="463" y="48"/>
          <a:chExt cx="71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0" y="49"/>
            <a:ext cx="529"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3</xdr:row>
      <xdr:rowOff>57150</xdr:rowOff>
    </xdr:from>
    <xdr:to>
      <xdr:col>4</xdr:col>
      <xdr:colOff>3495675</xdr:colOff>
      <xdr:row>6</xdr:row>
      <xdr:rowOff>95250</xdr:rowOff>
    </xdr:to>
    <xdr:grpSp>
      <xdr:nvGrpSpPr>
        <xdr:cNvPr id="1" name="Group 1"/>
        <xdr:cNvGrpSpPr>
          <a:grpSpLocks/>
        </xdr:cNvGrpSpPr>
      </xdr:nvGrpSpPr>
      <xdr:grpSpPr>
        <a:xfrm>
          <a:off x="276225" y="561975"/>
          <a:ext cx="7372350" cy="52387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drawing" Target="../drawings/drawing12.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drawing" Target="../drawings/drawing13.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cimis.water.ca.gov/cimis/pdf/21427-KcAgronomicGrassandVeg.pdf" TargetMode="External" /><Relationship Id="rId2" Type="http://schemas.openxmlformats.org/officeDocument/2006/relationships/hyperlink" Target="http://www.water.ca.gov/wateruseefficiency/docs/wucols00.pdf" TargetMode="External" /><Relationship Id="rId3" Type="http://schemas.openxmlformats.org/officeDocument/2006/relationships/hyperlink" Target="https://infrastructure.sfwater.org/fds/fds.aspx?lib=SFPUC&amp;doc=468841&amp;data=180503785" TargetMode="Externa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cimis.water.ca.gov/cimis/pdf/21427-KcAgronomicGrassandVeg.pdf" TargetMode="External" /><Relationship Id="rId2" Type="http://schemas.openxmlformats.org/officeDocument/2006/relationships/hyperlink" Target="http://www.water.ca.gov/wateruseefficiency/docs/wucols00.pdf" TargetMode="External" /><Relationship Id="rId3" Type="http://schemas.openxmlformats.org/officeDocument/2006/relationships/hyperlink" Target="https://infrastructure.sfwater.org/fds/fds.aspx?lib=SFPUC&amp;doc=468841&amp;data=180503785" TargetMode="External" /><Relationship Id="rId4" Type="http://schemas.openxmlformats.org/officeDocument/2006/relationships/vmlDrawing" Target="../drawings/vmlDrawing14.vml" /><Relationship Id="rId5" Type="http://schemas.openxmlformats.org/officeDocument/2006/relationships/drawing" Target="../drawings/drawing14.xml" /><Relationship Id="rId6"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indexed="12"/>
    <pageSetUpPr fitToPage="1"/>
  </sheetPr>
  <dimension ref="A1:AH95"/>
  <sheetViews>
    <sheetView tabSelected="1" view="pageBreakPreview" zoomScale="85" zoomScaleNormal="75" zoomScaleSheetLayoutView="85" zoomScalePageLayoutView="0" workbookViewId="0" topLeftCell="A1">
      <selection activeCell="D5" sqref="D5"/>
    </sheetView>
  </sheetViews>
  <sheetFormatPr defaultColWidth="8.8515625" defaultRowHeight="12.75"/>
  <cols>
    <col min="1" max="1" width="5.421875" style="0" customWidth="1"/>
    <col min="2" max="2" width="26.421875" style="0" customWidth="1"/>
    <col min="3" max="3" width="15.28125" style="0" customWidth="1"/>
    <col min="4" max="4" width="8.421875" style="0" customWidth="1"/>
    <col min="5" max="17" width="8.140625" style="0" customWidth="1"/>
    <col min="18" max="18" width="9.7109375" style="0" customWidth="1"/>
    <col min="19" max="20" width="8.140625" style="0" customWidth="1"/>
    <col min="21" max="21" width="9.7109375" style="0" customWidth="1"/>
    <col min="22" max="22" width="12.421875" style="0" customWidth="1"/>
    <col min="23" max="28" width="9.140625" customWidth="1"/>
    <col min="29" max="43" width="0" style="0" hidden="1" customWidth="1"/>
    <col min="44" max="16384" width="9.140625" customWidth="1"/>
  </cols>
  <sheetData>
    <row r="1" spans="1:16" s="37" customFormat="1" ht="15.75">
      <c r="A1" s="38" t="s">
        <v>921</v>
      </c>
      <c r="N1"/>
      <c r="O1"/>
      <c r="P1"/>
    </row>
    <row r="2" spans="1:16" s="45" customFormat="1" ht="12.75">
      <c r="A2" s="44" t="s">
        <v>273</v>
      </c>
      <c r="B2" s="44"/>
      <c r="N2"/>
      <c r="O2"/>
      <c r="P2"/>
    </row>
    <row r="3" spans="1:3" s="45" customFormat="1" ht="12.75">
      <c r="A3" s="175"/>
      <c r="B3" s="175"/>
      <c r="C3" s="149"/>
    </row>
    <row r="4" spans="1:7" ht="13.5" thickBot="1">
      <c r="A4" s="1" t="s">
        <v>744</v>
      </c>
      <c r="G4" s="71"/>
    </row>
    <row r="5" spans="1:8" ht="13.5" thickBot="1">
      <c r="A5" s="703" t="s">
        <v>791</v>
      </c>
      <c r="B5" s="704"/>
      <c r="C5" s="466" t="s">
        <v>215</v>
      </c>
      <c r="D5" s="574"/>
      <c r="E5" t="s">
        <v>208</v>
      </c>
      <c r="G5" s="236"/>
      <c r="H5" s="70"/>
    </row>
    <row r="6" spans="1:8" ht="13.5" thickBot="1">
      <c r="A6" s="703" t="s">
        <v>792</v>
      </c>
      <c r="B6" s="704"/>
      <c r="C6" s="466" t="s">
        <v>642</v>
      </c>
      <c r="D6" s="575"/>
      <c r="G6" s="341"/>
      <c r="H6" s="70"/>
    </row>
    <row r="7" spans="1:4" ht="13.5" thickBot="1">
      <c r="A7" s="3"/>
      <c r="B7" s="20"/>
      <c r="C7" s="35"/>
      <c r="D7" s="40"/>
    </row>
    <row r="8" spans="1:21" ht="13.5" thickBot="1">
      <c r="A8" s="692" t="s">
        <v>793</v>
      </c>
      <c r="B8" s="704"/>
      <c r="C8" s="108" t="s">
        <v>794</v>
      </c>
      <c r="D8" s="3"/>
      <c r="E8" s="692" t="s">
        <v>795</v>
      </c>
      <c r="F8" s="693"/>
      <c r="G8" s="693"/>
      <c r="H8" s="694"/>
      <c r="I8" s="108" t="s">
        <v>796</v>
      </c>
      <c r="J8" s="3"/>
      <c r="K8" s="119" t="s">
        <v>797</v>
      </c>
      <c r="L8" s="120"/>
      <c r="M8" s="119" t="s">
        <v>798</v>
      </c>
      <c r="N8" s="120"/>
      <c r="O8" s="120"/>
      <c r="P8" s="120"/>
      <c r="Q8" s="120"/>
      <c r="R8" s="120"/>
      <c r="S8" s="121"/>
      <c r="T8" s="107" t="s">
        <v>799</v>
      </c>
      <c r="U8" s="107" t="s">
        <v>800</v>
      </c>
    </row>
    <row r="9" spans="4:20" ht="13.5" thickBot="1">
      <c r="D9" s="690" t="s">
        <v>228</v>
      </c>
      <c r="E9" s="714"/>
      <c r="F9" s="714"/>
      <c r="G9" s="714"/>
      <c r="H9" s="714"/>
      <c r="I9" s="715"/>
      <c r="J9" s="690" t="s">
        <v>286</v>
      </c>
      <c r="K9" s="714"/>
      <c r="L9" s="714"/>
      <c r="M9" s="714"/>
      <c r="N9" s="714"/>
      <c r="O9" s="714"/>
      <c r="P9" s="714"/>
      <c r="Q9" s="714"/>
      <c r="R9" s="714"/>
      <c r="S9" s="714"/>
      <c r="T9" s="715"/>
    </row>
    <row r="10" spans="1:21" ht="127.5" customHeight="1">
      <c r="A10" s="426" t="s">
        <v>640</v>
      </c>
      <c r="B10" s="427"/>
      <c r="C10" s="428" t="s">
        <v>644</v>
      </c>
      <c r="D10" s="429" t="s">
        <v>229</v>
      </c>
      <c r="E10" s="430" t="s">
        <v>230</v>
      </c>
      <c r="F10" s="430" t="s">
        <v>209</v>
      </c>
      <c r="G10" s="430" t="s">
        <v>210</v>
      </c>
      <c r="H10" s="430" t="s">
        <v>255</v>
      </c>
      <c r="I10" s="431" t="s">
        <v>211</v>
      </c>
      <c r="J10" s="432" t="s">
        <v>229</v>
      </c>
      <c r="K10" s="433" t="s">
        <v>907</v>
      </c>
      <c r="L10" s="433" t="s">
        <v>908</v>
      </c>
      <c r="M10" s="433" t="s">
        <v>318</v>
      </c>
      <c r="N10" s="433" t="s">
        <v>249</v>
      </c>
      <c r="O10" s="433" t="s">
        <v>250</v>
      </c>
      <c r="P10" s="434" t="s">
        <v>251</v>
      </c>
      <c r="Q10" s="434" t="s">
        <v>252</v>
      </c>
      <c r="R10" s="434" t="s">
        <v>253</v>
      </c>
      <c r="S10" s="434" t="s">
        <v>254</v>
      </c>
      <c r="T10" s="435" t="s">
        <v>211</v>
      </c>
      <c r="U10" s="436" t="s">
        <v>212</v>
      </c>
    </row>
    <row r="11" spans="1:21" ht="13.5" thickBot="1">
      <c r="A11" s="437"/>
      <c r="B11" s="438"/>
      <c r="C11" s="439"/>
      <c r="D11" s="440"/>
      <c r="E11" s="441"/>
      <c r="F11" s="441"/>
      <c r="G11" s="441"/>
      <c r="H11" s="441"/>
      <c r="I11" s="442"/>
      <c r="J11" s="440"/>
      <c r="K11" s="441"/>
      <c r="L11" s="441"/>
      <c r="M11" s="441"/>
      <c r="N11" s="441"/>
      <c r="O11" s="441"/>
      <c r="P11" s="441"/>
      <c r="Q11" s="441"/>
      <c r="R11" s="441"/>
      <c r="S11" s="441"/>
      <c r="T11" s="442"/>
      <c r="U11" s="443"/>
    </row>
    <row r="12" spans="1:21" ht="13.5" thickTop="1">
      <c r="A12" s="569" t="s">
        <v>216</v>
      </c>
      <c r="B12" s="576"/>
      <c r="C12" s="577"/>
      <c r="D12" s="109">
        <f>SUM(E12:I12)</f>
        <v>0</v>
      </c>
      <c r="E12" s="571"/>
      <c r="F12" s="571"/>
      <c r="G12" s="571"/>
      <c r="H12" s="571"/>
      <c r="I12" s="572"/>
      <c r="J12" s="109">
        <f aca="true" t="shared" si="0" ref="J12:J21">SUM(K12:T12)</f>
        <v>0</v>
      </c>
      <c r="K12" s="571"/>
      <c r="L12" s="571"/>
      <c r="M12" s="571"/>
      <c r="N12" s="571"/>
      <c r="O12" s="571"/>
      <c r="P12" s="571"/>
      <c r="Q12" s="571"/>
      <c r="R12" s="571"/>
      <c r="S12" s="571"/>
      <c r="T12" s="572"/>
      <c r="U12" s="116" t="str">
        <f aca="true" t="shared" si="1" ref="U12:U21">IF(J12+D12=C12,"Okay","Check Areas!")</f>
        <v>Okay</v>
      </c>
    </row>
    <row r="13" spans="1:21" ht="12.75">
      <c r="A13" s="569" t="s">
        <v>217</v>
      </c>
      <c r="B13" s="576"/>
      <c r="C13" s="577"/>
      <c r="D13" s="109">
        <f aca="true" t="shared" si="2" ref="D13:D21">SUM(E13:I13)</f>
        <v>0</v>
      </c>
      <c r="E13" s="571"/>
      <c r="F13" s="571"/>
      <c r="G13" s="571"/>
      <c r="H13" s="571"/>
      <c r="I13" s="572"/>
      <c r="J13" s="109">
        <f t="shared" si="0"/>
        <v>0</v>
      </c>
      <c r="K13" s="571"/>
      <c r="L13" s="571"/>
      <c r="M13" s="571"/>
      <c r="N13" s="571"/>
      <c r="O13" s="571"/>
      <c r="P13" s="571"/>
      <c r="Q13" s="571"/>
      <c r="R13" s="571"/>
      <c r="S13" s="571"/>
      <c r="T13" s="572"/>
      <c r="U13" s="116" t="str">
        <f t="shared" si="1"/>
        <v>Okay</v>
      </c>
    </row>
    <row r="14" spans="1:21" ht="12.75">
      <c r="A14" s="569" t="s">
        <v>218</v>
      </c>
      <c r="B14" s="576"/>
      <c r="C14" s="577"/>
      <c r="D14" s="109">
        <f t="shared" si="2"/>
        <v>0</v>
      </c>
      <c r="E14" s="571"/>
      <c r="F14" s="571"/>
      <c r="G14" s="571"/>
      <c r="H14" s="571"/>
      <c r="I14" s="572"/>
      <c r="J14" s="109">
        <f t="shared" si="0"/>
        <v>0</v>
      </c>
      <c r="K14" s="571"/>
      <c r="L14" s="571"/>
      <c r="M14" s="571"/>
      <c r="N14" s="571"/>
      <c r="O14" s="571"/>
      <c r="P14" s="571"/>
      <c r="Q14" s="571"/>
      <c r="R14" s="571"/>
      <c r="S14" s="571"/>
      <c r="T14" s="572"/>
      <c r="U14" s="116" t="str">
        <f t="shared" si="1"/>
        <v>Okay</v>
      </c>
    </row>
    <row r="15" spans="1:21" ht="12.75">
      <c r="A15" s="569" t="s">
        <v>219</v>
      </c>
      <c r="B15" s="576"/>
      <c r="C15" s="577"/>
      <c r="D15" s="109">
        <f t="shared" si="2"/>
        <v>0</v>
      </c>
      <c r="E15" s="571"/>
      <c r="F15" s="571"/>
      <c r="G15" s="571"/>
      <c r="H15" s="571"/>
      <c r="I15" s="572"/>
      <c r="J15" s="109">
        <f t="shared" si="0"/>
        <v>0</v>
      </c>
      <c r="K15" s="571"/>
      <c r="L15" s="571"/>
      <c r="M15" s="571"/>
      <c r="N15" s="571"/>
      <c r="O15" s="571"/>
      <c r="P15" s="571"/>
      <c r="Q15" s="571"/>
      <c r="R15" s="571"/>
      <c r="S15" s="571"/>
      <c r="T15" s="572"/>
      <c r="U15" s="116" t="str">
        <f t="shared" si="1"/>
        <v>Okay</v>
      </c>
    </row>
    <row r="16" spans="1:21" ht="12.75">
      <c r="A16" s="569" t="s">
        <v>220</v>
      </c>
      <c r="B16" s="576"/>
      <c r="C16" s="577"/>
      <c r="D16" s="109">
        <f t="shared" si="2"/>
        <v>0</v>
      </c>
      <c r="E16" s="571"/>
      <c r="F16" s="571"/>
      <c r="G16" s="571"/>
      <c r="H16" s="571"/>
      <c r="I16" s="572"/>
      <c r="J16" s="109">
        <f t="shared" si="0"/>
        <v>0</v>
      </c>
      <c r="K16" s="571"/>
      <c r="L16" s="571"/>
      <c r="M16" s="571"/>
      <c r="N16" s="571"/>
      <c r="O16" s="571"/>
      <c r="P16" s="571"/>
      <c r="Q16" s="571"/>
      <c r="R16" s="571"/>
      <c r="S16" s="571"/>
      <c r="T16" s="572"/>
      <c r="U16" s="116" t="str">
        <f t="shared" si="1"/>
        <v>Okay</v>
      </c>
    </row>
    <row r="17" spans="1:21" ht="12.75">
      <c r="A17" s="569" t="s">
        <v>221</v>
      </c>
      <c r="B17" s="576"/>
      <c r="C17" s="577"/>
      <c r="D17" s="109">
        <f t="shared" si="2"/>
        <v>0</v>
      </c>
      <c r="E17" s="571"/>
      <c r="F17" s="571"/>
      <c r="G17" s="571"/>
      <c r="H17" s="571"/>
      <c r="I17" s="572"/>
      <c r="J17" s="109">
        <f t="shared" si="0"/>
        <v>0</v>
      </c>
      <c r="K17" s="571"/>
      <c r="L17" s="571"/>
      <c r="M17" s="571"/>
      <c r="N17" s="571"/>
      <c r="O17" s="571"/>
      <c r="P17" s="571"/>
      <c r="Q17" s="571"/>
      <c r="R17" s="571"/>
      <c r="S17" s="571"/>
      <c r="T17" s="572"/>
      <c r="U17" s="116" t="str">
        <f t="shared" si="1"/>
        <v>Okay</v>
      </c>
    </row>
    <row r="18" spans="1:21" ht="12.75">
      <c r="A18" s="569" t="s">
        <v>222</v>
      </c>
      <c r="B18" s="576"/>
      <c r="C18" s="577"/>
      <c r="D18" s="109">
        <f t="shared" si="2"/>
        <v>0</v>
      </c>
      <c r="E18" s="571"/>
      <c r="F18" s="571"/>
      <c r="G18" s="571"/>
      <c r="H18" s="571"/>
      <c r="I18" s="572"/>
      <c r="J18" s="109">
        <f t="shared" si="0"/>
        <v>0</v>
      </c>
      <c r="K18" s="571"/>
      <c r="L18" s="571"/>
      <c r="M18" s="571"/>
      <c r="N18" s="571"/>
      <c r="O18" s="571"/>
      <c r="P18" s="571"/>
      <c r="Q18" s="571"/>
      <c r="R18" s="571"/>
      <c r="S18" s="571"/>
      <c r="T18" s="572"/>
      <c r="U18" s="116" t="str">
        <f t="shared" si="1"/>
        <v>Okay</v>
      </c>
    </row>
    <row r="19" spans="1:21" ht="12.75">
      <c r="A19" s="569" t="s">
        <v>223</v>
      </c>
      <c r="B19" s="576"/>
      <c r="C19" s="577"/>
      <c r="D19" s="109">
        <f t="shared" si="2"/>
        <v>0</v>
      </c>
      <c r="E19" s="571"/>
      <c r="F19" s="571"/>
      <c r="G19" s="571"/>
      <c r="H19" s="571"/>
      <c r="I19" s="572"/>
      <c r="J19" s="109">
        <f t="shared" si="0"/>
        <v>0</v>
      </c>
      <c r="K19" s="571"/>
      <c r="L19" s="571"/>
      <c r="M19" s="571"/>
      <c r="N19" s="571"/>
      <c r="O19" s="571"/>
      <c r="P19" s="571"/>
      <c r="Q19" s="571"/>
      <c r="R19" s="571"/>
      <c r="S19" s="571"/>
      <c r="T19" s="572"/>
      <c r="U19" s="116" t="str">
        <f t="shared" si="1"/>
        <v>Okay</v>
      </c>
    </row>
    <row r="20" spans="1:34" ht="12.75">
      <c r="A20" s="569" t="s">
        <v>224</v>
      </c>
      <c r="B20" s="576"/>
      <c r="C20" s="577"/>
      <c r="D20" s="109">
        <f t="shared" si="2"/>
        <v>0</v>
      </c>
      <c r="E20" s="571"/>
      <c r="F20" s="571"/>
      <c r="G20" s="571"/>
      <c r="H20" s="571"/>
      <c r="I20" s="572"/>
      <c r="J20" s="109">
        <f t="shared" si="0"/>
        <v>0</v>
      </c>
      <c r="K20" s="571"/>
      <c r="L20" s="571"/>
      <c r="M20" s="571"/>
      <c r="N20" s="571"/>
      <c r="O20" s="571"/>
      <c r="P20" s="571"/>
      <c r="Q20" s="571"/>
      <c r="R20" s="571"/>
      <c r="S20" s="571"/>
      <c r="T20" s="572"/>
      <c r="U20" s="116" t="str">
        <f t="shared" si="1"/>
        <v>Okay</v>
      </c>
      <c r="AD20" s="24" t="s">
        <v>855</v>
      </c>
      <c r="AE20" s="724" t="s">
        <v>851</v>
      </c>
      <c r="AF20" s="725"/>
      <c r="AG20" s="725"/>
      <c r="AH20" s="725"/>
    </row>
    <row r="21" spans="1:34" ht="13.5" thickBot="1">
      <c r="A21" s="570" t="s">
        <v>225</v>
      </c>
      <c r="B21" s="578"/>
      <c r="C21" s="579"/>
      <c r="D21" s="110">
        <f t="shared" si="2"/>
        <v>0</v>
      </c>
      <c r="E21" s="573"/>
      <c r="F21" s="573"/>
      <c r="G21" s="573"/>
      <c r="H21" s="573"/>
      <c r="I21" s="580"/>
      <c r="J21" s="110">
        <f t="shared" si="0"/>
        <v>0</v>
      </c>
      <c r="K21" s="573"/>
      <c r="L21" s="573"/>
      <c r="M21" s="573"/>
      <c r="N21" s="573"/>
      <c r="O21" s="573"/>
      <c r="P21" s="573"/>
      <c r="Q21" s="573"/>
      <c r="R21" s="573"/>
      <c r="S21" s="573"/>
      <c r="T21" s="573"/>
      <c r="U21" s="117" t="str">
        <f t="shared" si="1"/>
        <v>Okay</v>
      </c>
      <c r="AD21" s="30" t="s">
        <v>856</v>
      </c>
      <c r="AE21" s="726" t="s">
        <v>853</v>
      </c>
      <c r="AF21" s="727"/>
      <c r="AG21" s="726" t="s">
        <v>854</v>
      </c>
      <c r="AH21" s="728"/>
    </row>
    <row r="22" spans="1:34" ht="13.5" thickBot="1">
      <c r="A22" s="113"/>
      <c r="B22" s="114" t="s">
        <v>226</v>
      </c>
      <c r="C22" s="115">
        <f>SUM(C12:C21)</f>
        <v>0</v>
      </c>
      <c r="AD22" s="31" t="s">
        <v>852</v>
      </c>
      <c r="AE22" s="25">
        <v>0.8</v>
      </c>
      <c r="AF22" s="26">
        <v>0.9</v>
      </c>
      <c r="AG22" s="27">
        <v>0.8</v>
      </c>
      <c r="AH22" s="27">
        <v>0.9</v>
      </c>
    </row>
    <row r="23" spans="1:34" ht="14.25" thickBot="1" thickTop="1">
      <c r="A23" s="6"/>
      <c r="B23" s="111" t="s">
        <v>212</v>
      </c>
      <c r="C23" s="116" t="str">
        <f>IF(C22=D5,"Okay","Check Total and DMA Areas!")</f>
        <v>Okay</v>
      </c>
      <c r="E23" s="712" t="s">
        <v>287</v>
      </c>
      <c r="F23" s="713"/>
      <c r="G23" s="713"/>
      <c r="H23" s="691"/>
      <c r="M23" s="712" t="s">
        <v>288</v>
      </c>
      <c r="N23" s="713"/>
      <c r="O23" s="713"/>
      <c r="P23" s="713"/>
      <c r="Q23" s="691"/>
      <c r="AD23" s="14">
        <v>0.05</v>
      </c>
      <c r="AE23" s="28">
        <v>0.025</v>
      </c>
      <c r="AF23" s="14">
        <v>0.04</v>
      </c>
      <c r="AG23" s="13">
        <v>0.04</v>
      </c>
      <c r="AH23" s="13">
        <v>0.055</v>
      </c>
    </row>
    <row r="24" spans="1:34" ht="15.75" thickBot="1" thickTop="1">
      <c r="A24" s="9"/>
      <c r="B24" s="112" t="s">
        <v>641</v>
      </c>
      <c r="C24" s="117" t="str">
        <f>IF(COUNTA(C12:C21)=D6,"Okay","Check Number of DMAs!")</f>
        <v>Okay</v>
      </c>
      <c r="E24" s="445" t="s">
        <v>230</v>
      </c>
      <c r="F24" s="446"/>
      <c r="G24" s="446"/>
      <c r="H24" s="598">
        <v>0.85</v>
      </c>
      <c r="M24" s="449" t="s">
        <v>579</v>
      </c>
      <c r="N24" s="446"/>
      <c r="O24" s="446"/>
      <c r="P24" s="446"/>
      <c r="Q24" s="600" t="s">
        <v>911</v>
      </c>
      <c r="AD24" s="14">
        <v>0.1</v>
      </c>
      <c r="AE24" s="29">
        <v>0.06</v>
      </c>
      <c r="AF24" s="14">
        <v>0.075</v>
      </c>
      <c r="AG24" s="13">
        <v>0.075</v>
      </c>
      <c r="AH24" s="13">
        <v>0.105</v>
      </c>
    </row>
    <row r="25" spans="5:34" ht="14.25">
      <c r="E25" s="445" t="s">
        <v>209</v>
      </c>
      <c r="F25" s="446"/>
      <c r="G25" s="446"/>
      <c r="H25" s="598">
        <v>0.8</v>
      </c>
      <c r="M25" s="449" t="s">
        <v>580</v>
      </c>
      <c r="N25" s="446"/>
      <c r="O25" s="446"/>
      <c r="P25" s="446"/>
      <c r="Q25" s="601" t="s">
        <v>911</v>
      </c>
      <c r="AD25" s="14">
        <v>0.15</v>
      </c>
      <c r="AE25" s="29">
        <v>0.085</v>
      </c>
      <c r="AF25" s="14">
        <v>0.12</v>
      </c>
      <c r="AG25" s="13">
        <v>0.11</v>
      </c>
      <c r="AH25" s="13">
        <v>0.15</v>
      </c>
    </row>
    <row r="26" spans="5:34" ht="14.25">
      <c r="E26" s="445" t="s">
        <v>210</v>
      </c>
      <c r="F26" s="446"/>
      <c r="G26" s="446"/>
      <c r="H26" s="598">
        <v>0.9</v>
      </c>
      <c r="I26" s="12"/>
      <c r="M26" s="450" t="s">
        <v>582</v>
      </c>
      <c r="N26" s="446"/>
      <c r="O26" s="446"/>
      <c r="P26" s="446"/>
      <c r="Q26" s="598">
        <v>0.25</v>
      </c>
      <c r="AD26" s="14">
        <v>0.2</v>
      </c>
      <c r="AE26" s="29">
        <v>0.11</v>
      </c>
      <c r="AF26" s="14">
        <v>0.1525</v>
      </c>
      <c r="AG26" s="13">
        <v>0.1475</v>
      </c>
      <c r="AH26" s="13">
        <v>0.2</v>
      </c>
    </row>
    <row r="27" spans="5:34" ht="13.5" thickBot="1">
      <c r="E27" s="445" t="s">
        <v>255</v>
      </c>
      <c r="F27" s="446"/>
      <c r="G27" s="446"/>
      <c r="H27" s="598">
        <v>0.75</v>
      </c>
      <c r="M27" s="449" t="s">
        <v>249</v>
      </c>
      <c r="N27" s="446"/>
      <c r="O27" s="446"/>
      <c r="P27" s="446"/>
      <c r="Q27" s="598">
        <v>0.2</v>
      </c>
      <c r="AD27" s="14">
        <v>0.25</v>
      </c>
      <c r="AE27" s="29">
        <v>0.135</v>
      </c>
      <c r="AF27" s="14">
        <v>0.19</v>
      </c>
      <c r="AG27" s="13">
        <v>0.185</v>
      </c>
      <c r="AH27" s="13">
        <v>0.2525</v>
      </c>
    </row>
    <row r="28" spans="5:34" ht="13.5" thickBot="1">
      <c r="E28" s="447" t="s">
        <v>211</v>
      </c>
      <c r="F28" s="448"/>
      <c r="G28" s="448"/>
      <c r="H28" s="581"/>
      <c r="I28" s="444" t="s">
        <v>158</v>
      </c>
      <c r="M28" s="450" t="s">
        <v>250</v>
      </c>
      <c r="N28" s="446"/>
      <c r="O28" s="446"/>
      <c r="P28" s="446"/>
      <c r="Q28" s="598">
        <v>0.35</v>
      </c>
      <c r="AD28" s="14">
        <v>0.3</v>
      </c>
      <c r="AE28" s="29">
        <v>0.1625</v>
      </c>
      <c r="AF28" s="14">
        <v>0.23</v>
      </c>
      <c r="AG28" s="13">
        <v>0.2275</v>
      </c>
      <c r="AH28" s="13">
        <v>0.305</v>
      </c>
    </row>
    <row r="29" spans="13:34" ht="13.5" thickBot="1">
      <c r="M29" s="450" t="s">
        <v>251</v>
      </c>
      <c r="N29" s="446"/>
      <c r="O29" s="446"/>
      <c r="P29" s="446"/>
      <c r="Q29" s="598">
        <v>0.08</v>
      </c>
      <c r="AD29" s="14">
        <v>0.35</v>
      </c>
      <c r="AE29" s="29">
        <v>0.19</v>
      </c>
      <c r="AF29" s="14">
        <v>0.26</v>
      </c>
      <c r="AG29" s="13">
        <v>0.26</v>
      </c>
      <c r="AH29" s="13">
        <v>0.3575</v>
      </c>
    </row>
    <row r="30" spans="3:34" ht="13.5" thickBot="1">
      <c r="C30" s="692" t="s">
        <v>432</v>
      </c>
      <c r="D30" s="693"/>
      <c r="E30" s="694"/>
      <c r="M30" s="450" t="s">
        <v>252</v>
      </c>
      <c r="N30" s="446"/>
      <c r="O30" s="446"/>
      <c r="P30" s="446"/>
      <c r="Q30" s="598">
        <v>0.17</v>
      </c>
      <c r="AD30" s="14">
        <v>0.4</v>
      </c>
      <c r="AE30" s="29">
        <v>0.215</v>
      </c>
      <c r="AF30" s="14">
        <v>0.3</v>
      </c>
      <c r="AG30" s="13">
        <v>0.2975</v>
      </c>
      <c r="AH30" s="13">
        <v>0.4075</v>
      </c>
    </row>
    <row r="31" spans="1:34" ht="13.5" thickBot="1">
      <c r="A31" s="464" t="s">
        <v>643</v>
      </c>
      <c r="B31" s="583"/>
      <c r="C31" s="695" t="s">
        <v>289</v>
      </c>
      <c r="D31" s="696"/>
      <c r="E31" s="697"/>
      <c r="M31" s="450" t="s">
        <v>253</v>
      </c>
      <c r="N31" s="446"/>
      <c r="O31" s="446"/>
      <c r="P31" s="446"/>
      <c r="Q31" s="598">
        <v>0.15</v>
      </c>
      <c r="AD31" s="14">
        <v>0.45</v>
      </c>
      <c r="AE31" s="29">
        <v>0.24</v>
      </c>
      <c r="AF31" s="14">
        <v>0.325</v>
      </c>
      <c r="AG31" s="13">
        <v>0.3325</v>
      </c>
      <c r="AH31" s="13">
        <v>0.46</v>
      </c>
    </row>
    <row r="32" spans="1:34" ht="14.25" thickBot="1" thickTop="1">
      <c r="A32" s="361" t="s">
        <v>216</v>
      </c>
      <c r="B32" s="138">
        <f aca="true" t="shared" si="3" ref="B32:B41">B12</f>
        <v>0</v>
      </c>
      <c r="C32" s="88"/>
      <c r="D32" s="102" t="e">
        <f>(E12*$H$24+F12*$H$25+G12*$H$26+H12*$H$27+I12*$H$28+K12*0+L12*0+M12*$Q$26+N12*$Q$27+O12*$Q$28+P12*$Q$29+Q12*$Q$30+R12*$Q$31+S12*$Q$32+T12*$Q$33)/(J12+D12)</f>
        <v>#DIV/0!</v>
      </c>
      <c r="E32" s="87"/>
      <c r="M32" s="450" t="s">
        <v>254</v>
      </c>
      <c r="N32" s="446"/>
      <c r="O32" s="446"/>
      <c r="P32" s="446"/>
      <c r="Q32" s="599">
        <v>0.3</v>
      </c>
      <c r="AD32" s="14">
        <v>0.5</v>
      </c>
      <c r="AE32" s="29">
        <v>0.27</v>
      </c>
      <c r="AF32" s="14">
        <v>0.375</v>
      </c>
      <c r="AG32" s="13">
        <v>0.37</v>
      </c>
      <c r="AH32" s="13">
        <v>0.51</v>
      </c>
    </row>
    <row r="33" spans="1:34" ht="13.5" thickBot="1">
      <c r="A33" s="361" t="s">
        <v>217</v>
      </c>
      <c r="B33" s="138">
        <f t="shared" si="3"/>
        <v>0</v>
      </c>
      <c r="C33" s="88"/>
      <c r="D33" s="102" t="e">
        <f aca="true" t="shared" si="4" ref="D33:D41">(E13*$H$24+F13*$H$25+G13*$H$26+H13*$H$27+I13*$H$28+K13*0+L13*0+M13*$Q$26+N13*$Q$27+O13*$Q$28+P13*$Q$29+Q13*$Q$30+R13*$Q$31+S13*$Q$32+T13*$Q$33)/(J13+D13)</f>
        <v>#DIV/0!</v>
      </c>
      <c r="E33" s="87"/>
      <c r="G33" s="3"/>
      <c r="H33" s="22"/>
      <c r="I33" s="23"/>
      <c r="M33" s="451" t="s">
        <v>211</v>
      </c>
      <c r="N33" s="448"/>
      <c r="O33" s="448"/>
      <c r="P33" s="448"/>
      <c r="Q33" s="581"/>
      <c r="R33" s="444" t="s">
        <v>799</v>
      </c>
      <c r="AD33" s="14">
        <v>0.55</v>
      </c>
      <c r="AE33" s="29">
        <v>0.3</v>
      </c>
      <c r="AF33" s="14">
        <v>0.42</v>
      </c>
      <c r="AG33" s="13">
        <v>0.4075</v>
      </c>
      <c r="AH33" s="13">
        <v>0.5605</v>
      </c>
    </row>
    <row r="34" spans="1:34" ht="13.5" thickBot="1">
      <c r="A34" s="361" t="s">
        <v>218</v>
      </c>
      <c r="B34" s="138">
        <f t="shared" si="3"/>
        <v>0</v>
      </c>
      <c r="C34" s="88"/>
      <c r="D34" s="102" t="e">
        <f t="shared" si="4"/>
        <v>#DIV/0!</v>
      </c>
      <c r="E34" s="87"/>
      <c r="H34" s="3"/>
      <c r="I34" s="3"/>
      <c r="J34" s="3"/>
      <c r="Q34" s="3"/>
      <c r="AD34" s="14">
        <v>0.6</v>
      </c>
      <c r="AE34" s="29">
        <v>0.325</v>
      </c>
      <c r="AF34" s="14">
        <v>0.4525</v>
      </c>
      <c r="AG34" s="13">
        <v>0.44</v>
      </c>
      <c r="AH34" s="13">
        <v>0.615</v>
      </c>
    </row>
    <row r="35" spans="1:34" ht="13.5" thickBot="1">
      <c r="A35" s="361" t="s">
        <v>219</v>
      </c>
      <c r="B35" s="138">
        <f t="shared" si="3"/>
        <v>0</v>
      </c>
      <c r="C35" s="88"/>
      <c r="D35" s="102" t="e">
        <f t="shared" si="4"/>
        <v>#DIV/0!</v>
      </c>
      <c r="E35" s="87"/>
      <c r="H35" s="698" t="s">
        <v>819</v>
      </c>
      <c r="I35" s="699"/>
      <c r="J35" s="699"/>
      <c r="K35" s="699"/>
      <c r="L35" s="699"/>
      <c r="M35" s="699"/>
      <c r="N35" s="699"/>
      <c r="O35" s="699"/>
      <c r="P35" s="700"/>
      <c r="Q35" s="582"/>
      <c r="R35" s="444" t="s">
        <v>433</v>
      </c>
      <c r="AD35" s="14">
        <v>0.65</v>
      </c>
      <c r="AE35" s="29">
        <v>0.35</v>
      </c>
      <c r="AF35" s="14">
        <v>0.495</v>
      </c>
      <c r="AG35" s="13">
        <v>0.48</v>
      </c>
      <c r="AH35" s="13">
        <v>0.665</v>
      </c>
    </row>
    <row r="36" spans="1:34" ht="12.75">
      <c r="A36" s="361" t="s">
        <v>220</v>
      </c>
      <c r="B36" s="138">
        <f t="shared" si="3"/>
        <v>0</v>
      </c>
      <c r="C36" s="88"/>
      <c r="D36" s="102" t="e">
        <f t="shared" si="4"/>
        <v>#DIV/0!</v>
      </c>
      <c r="E36" s="87"/>
      <c r="H36" s="452" t="s">
        <v>667</v>
      </c>
      <c r="I36" s="245" t="s">
        <v>516</v>
      </c>
      <c r="J36" s="446"/>
      <c r="K36" s="446"/>
      <c r="L36" s="446"/>
      <c r="M36" s="446"/>
      <c r="N36" s="446"/>
      <c r="O36" s="446"/>
      <c r="P36" s="446"/>
      <c r="Q36" s="453"/>
      <c r="AD36" s="14">
        <v>0.7</v>
      </c>
      <c r="AE36" s="29">
        <v>0.38</v>
      </c>
      <c r="AF36" s="14">
        <v>0.53</v>
      </c>
      <c r="AG36" s="13">
        <v>0.515</v>
      </c>
      <c r="AH36" s="13">
        <v>0.72</v>
      </c>
    </row>
    <row r="37" spans="1:34" ht="13.5" thickBot="1">
      <c r="A37" s="361" t="s">
        <v>221</v>
      </c>
      <c r="B37" s="138">
        <f t="shared" si="3"/>
        <v>0</v>
      </c>
      <c r="C37" s="88"/>
      <c r="D37" s="102" t="e">
        <f t="shared" si="4"/>
        <v>#DIV/0!</v>
      </c>
      <c r="E37" s="87"/>
      <c r="H37" s="454" t="s">
        <v>668</v>
      </c>
      <c r="I37" s="455" t="s">
        <v>723</v>
      </c>
      <c r="J37" s="448"/>
      <c r="K37" s="448"/>
      <c r="L37" s="448"/>
      <c r="M37" s="448"/>
      <c r="N37" s="448"/>
      <c r="O37" s="448"/>
      <c r="P37" s="448"/>
      <c r="Q37" s="456"/>
      <c r="AD37" s="14">
        <v>0.75</v>
      </c>
      <c r="AE37" s="29">
        <v>0.41</v>
      </c>
      <c r="AF37" s="14">
        <v>0.565</v>
      </c>
      <c r="AG37" s="13">
        <v>0.5525</v>
      </c>
      <c r="AH37" s="13">
        <v>0.77</v>
      </c>
    </row>
    <row r="38" spans="1:34" ht="13.5" thickBot="1">
      <c r="A38" s="361" t="s">
        <v>222</v>
      </c>
      <c r="B38" s="138">
        <f t="shared" si="3"/>
        <v>0</v>
      </c>
      <c r="C38" s="88"/>
      <c r="D38" s="102" t="e">
        <f t="shared" si="4"/>
        <v>#DIV/0!</v>
      </c>
      <c r="E38" s="87"/>
      <c r="H38" s="357"/>
      <c r="I38" s="34"/>
      <c r="J38" s="3"/>
      <c r="K38" s="3"/>
      <c r="L38" s="3"/>
      <c r="M38" s="3"/>
      <c r="N38" s="3"/>
      <c r="O38" s="3"/>
      <c r="P38" s="3"/>
      <c r="Q38" s="3"/>
      <c r="AD38" s="14">
        <v>0.8</v>
      </c>
      <c r="AE38" s="29">
        <v>0.43</v>
      </c>
      <c r="AF38" s="14">
        <v>0.605</v>
      </c>
      <c r="AG38" s="13">
        <v>0.59</v>
      </c>
      <c r="AH38" s="13">
        <v>0.82</v>
      </c>
    </row>
    <row r="39" spans="1:34" ht="13.5" thickBot="1">
      <c r="A39" s="361" t="s">
        <v>223</v>
      </c>
      <c r="B39" s="138">
        <f t="shared" si="3"/>
        <v>0</v>
      </c>
      <c r="C39" s="88"/>
      <c r="D39" s="102" t="e">
        <f t="shared" si="4"/>
        <v>#DIV/0!</v>
      </c>
      <c r="E39" s="87"/>
      <c r="H39" s="363" t="s">
        <v>156</v>
      </c>
      <c r="I39" s="364"/>
      <c r="J39" s="364"/>
      <c r="K39" s="364"/>
      <c r="L39" s="364"/>
      <c r="M39" s="364"/>
      <c r="N39" s="364"/>
      <c r="O39" s="364"/>
      <c r="P39" s="364"/>
      <c r="Q39" s="365"/>
      <c r="AD39" s="14">
        <v>0.85</v>
      </c>
      <c r="AE39" s="29">
        <v>0.465</v>
      </c>
      <c r="AF39" s="14">
        <v>0.645</v>
      </c>
      <c r="AG39" s="13">
        <v>0.625</v>
      </c>
      <c r="AH39" s="13">
        <v>0.87</v>
      </c>
    </row>
    <row r="40" spans="1:34" ht="14.25" thickBot="1" thickTop="1">
      <c r="A40" s="361" t="s">
        <v>224</v>
      </c>
      <c r="B40" s="138">
        <f t="shared" si="3"/>
        <v>0</v>
      </c>
      <c r="C40" s="88"/>
      <c r="D40" s="102" t="e">
        <f t="shared" si="4"/>
        <v>#DIV/0!</v>
      </c>
      <c r="E40" s="87"/>
      <c r="H40" s="447" t="s">
        <v>155</v>
      </c>
      <c r="I40" s="448"/>
      <c r="J40" s="448"/>
      <c r="K40" s="448"/>
      <c r="L40" s="448"/>
      <c r="M40" s="448"/>
      <c r="N40" s="448"/>
      <c r="O40" s="448"/>
      <c r="P40" s="457"/>
      <c r="Q40" s="599">
        <v>0.2</v>
      </c>
      <c r="AD40" s="14">
        <v>0.9</v>
      </c>
      <c r="AE40" s="29">
        <v>0.49</v>
      </c>
      <c r="AF40" s="14">
        <v>0.685</v>
      </c>
      <c r="AG40" s="13">
        <v>0.66</v>
      </c>
      <c r="AH40" s="13">
        <v>0.92</v>
      </c>
    </row>
    <row r="41" spans="1:34" ht="13.5" thickBot="1">
      <c r="A41" s="362" t="s">
        <v>225</v>
      </c>
      <c r="B41" s="139">
        <f t="shared" si="3"/>
        <v>0</v>
      </c>
      <c r="C41" s="89"/>
      <c r="D41" s="104" t="e">
        <f t="shared" si="4"/>
        <v>#DIV/0!</v>
      </c>
      <c r="E41" s="90"/>
      <c r="H41" s="359" t="s">
        <v>184</v>
      </c>
      <c r="AD41" s="14">
        <v>0.95</v>
      </c>
      <c r="AE41" s="29">
        <v>0.515</v>
      </c>
      <c r="AF41" s="14">
        <v>0.72</v>
      </c>
      <c r="AG41" s="13">
        <v>0.695</v>
      </c>
      <c r="AH41" s="13">
        <v>0.97</v>
      </c>
    </row>
    <row r="42" spans="30:34" ht="13.5" thickBot="1">
      <c r="AD42" s="14">
        <v>1</v>
      </c>
      <c r="AE42" s="29">
        <v>0.54</v>
      </c>
      <c r="AF42" s="14">
        <v>0.755</v>
      </c>
      <c r="AG42" s="13">
        <v>0.735</v>
      </c>
      <c r="AH42" s="13">
        <v>1.025</v>
      </c>
    </row>
    <row r="43" spans="3:21" ht="13.5" thickBot="1">
      <c r="C43" s="692" t="s">
        <v>434</v>
      </c>
      <c r="D43" s="693"/>
      <c r="E43" s="694"/>
      <c r="F43" s="692" t="s">
        <v>788</v>
      </c>
      <c r="G43" s="693"/>
      <c r="H43" s="694"/>
      <c r="I43" s="3"/>
      <c r="J43" s="692" t="s">
        <v>787</v>
      </c>
      <c r="K43" s="693"/>
      <c r="L43" s="693"/>
      <c r="M43" s="693"/>
      <c r="N43" s="693"/>
      <c r="O43" s="693"/>
      <c r="P43" s="693"/>
      <c r="Q43" s="693"/>
      <c r="R43" s="693"/>
      <c r="S43" s="693"/>
      <c r="T43" s="693"/>
      <c r="U43" s="685"/>
    </row>
    <row r="44" spans="1:21" ht="13.5" thickBot="1">
      <c r="A44" s="426" t="s">
        <v>643</v>
      </c>
      <c r="B44" s="427"/>
      <c r="C44" s="709" t="s">
        <v>306</v>
      </c>
      <c r="D44" s="710"/>
      <c r="E44" s="711"/>
      <c r="F44" s="709" t="s">
        <v>307</v>
      </c>
      <c r="G44" s="710"/>
      <c r="H44" s="711"/>
      <c r="I44" s="3"/>
      <c r="J44" s="459" t="s">
        <v>823</v>
      </c>
      <c r="K44" s="460" t="s">
        <v>824</v>
      </c>
      <c r="L44" s="682" t="s">
        <v>825</v>
      </c>
      <c r="M44" s="683"/>
      <c r="N44" s="683"/>
      <c r="O44" s="683"/>
      <c r="P44" s="683"/>
      <c r="Q44" s="683"/>
      <c r="R44" s="683"/>
      <c r="S44" s="683"/>
      <c r="T44" s="683"/>
      <c r="U44" s="684"/>
    </row>
    <row r="45" spans="1:21" ht="13.5" thickBot="1">
      <c r="A45" s="437"/>
      <c r="B45" s="458"/>
      <c r="C45" s="720" t="s">
        <v>290</v>
      </c>
      <c r="D45" s="721"/>
      <c r="E45" s="722"/>
      <c r="F45" s="720" t="s">
        <v>213</v>
      </c>
      <c r="G45" s="721"/>
      <c r="H45" s="722"/>
      <c r="I45" s="3"/>
      <c r="J45" s="106"/>
      <c r="K45" s="474" t="s">
        <v>227</v>
      </c>
      <c r="L45" s="464" t="s">
        <v>826</v>
      </c>
      <c r="M45" s="461"/>
      <c r="N45" s="461"/>
      <c r="O45" s="462" t="s">
        <v>827</v>
      </c>
      <c r="P45" s="463" t="s">
        <v>828</v>
      </c>
      <c r="Q45" s="464" t="s">
        <v>826</v>
      </c>
      <c r="R45" s="461"/>
      <c r="S45" s="461"/>
      <c r="T45" s="465" t="s">
        <v>827</v>
      </c>
      <c r="U45" s="463" t="s">
        <v>828</v>
      </c>
    </row>
    <row r="46" spans="1:21" ht="13.5" thickTop="1">
      <c r="A46" s="361" t="s">
        <v>216</v>
      </c>
      <c r="B46" s="140">
        <f aca="true" t="shared" si="5" ref="B46:B55">B32</f>
        <v>0</v>
      </c>
      <c r="C46" s="88"/>
      <c r="D46" s="98" t="e">
        <f aca="true" t="shared" si="6" ref="D46:D55">D32*$Q$40*((C12)/43560)</f>
        <v>#DIV/0!</v>
      </c>
      <c r="E46" s="99"/>
      <c r="F46" s="100"/>
      <c r="G46" s="101" t="str">
        <f aca="true" t="shared" si="7" ref="G46:G55">IF($Q$35=1,((D32/1.3583)/12)*(C12),IF($Q$35=2,(D32*C12*0.75/12),"ERROR"))</f>
        <v>ERROR</v>
      </c>
      <c r="H46" s="87"/>
      <c r="I46" s="3"/>
      <c r="J46" s="360" t="s">
        <v>722</v>
      </c>
      <c r="K46" s="475">
        <f aca="true" t="shared" si="8" ref="K46:K55">C12/43560</f>
        <v>0</v>
      </c>
      <c r="L46" s="415" t="s">
        <v>829</v>
      </c>
      <c r="M46" s="414"/>
      <c r="N46" s="2"/>
      <c r="O46" s="397" t="s">
        <v>830</v>
      </c>
      <c r="P46" s="398"/>
      <c r="Q46" s="470" t="s">
        <v>585</v>
      </c>
      <c r="R46" s="471"/>
      <c r="S46" s="471"/>
      <c r="T46" s="399"/>
      <c r="U46" s="400" t="s">
        <v>309</v>
      </c>
    </row>
    <row r="47" spans="1:21" ht="12.75">
      <c r="A47" s="361" t="s">
        <v>217</v>
      </c>
      <c r="B47" s="138">
        <f t="shared" si="5"/>
        <v>0</v>
      </c>
      <c r="C47" s="88"/>
      <c r="D47" s="102" t="e">
        <f t="shared" si="6"/>
        <v>#DIV/0!</v>
      </c>
      <c r="E47" s="87"/>
      <c r="F47" s="88"/>
      <c r="G47" s="103" t="str">
        <f t="shared" si="7"/>
        <v>ERROR</v>
      </c>
      <c r="H47" s="87"/>
      <c r="I47" s="3"/>
      <c r="J47" s="361" t="s">
        <v>217</v>
      </c>
      <c r="K47" s="476">
        <f t="shared" si="8"/>
        <v>0</v>
      </c>
      <c r="L47" s="47" t="s">
        <v>832</v>
      </c>
      <c r="M47" s="2"/>
      <c r="N47" s="2"/>
      <c r="O47" s="397" t="s">
        <v>161</v>
      </c>
      <c r="P47" s="398"/>
      <c r="Q47" s="47" t="s">
        <v>164</v>
      </c>
      <c r="R47" s="2"/>
      <c r="S47" s="2"/>
      <c r="T47" s="401"/>
      <c r="U47" s="398" t="s">
        <v>161</v>
      </c>
    </row>
    <row r="48" spans="1:21" ht="12.75">
      <c r="A48" s="361" t="s">
        <v>218</v>
      </c>
      <c r="B48" s="138">
        <f t="shared" si="5"/>
        <v>0</v>
      </c>
      <c r="C48" s="88"/>
      <c r="D48" s="102" t="e">
        <f t="shared" si="6"/>
        <v>#DIV/0!</v>
      </c>
      <c r="E48" s="87"/>
      <c r="F48" s="88"/>
      <c r="G48" s="103" t="str">
        <f t="shared" si="7"/>
        <v>ERROR</v>
      </c>
      <c r="H48" s="87"/>
      <c r="I48" s="3"/>
      <c r="J48" s="361" t="s">
        <v>218</v>
      </c>
      <c r="K48" s="476">
        <f t="shared" si="8"/>
        <v>0</v>
      </c>
      <c r="L48" s="47" t="s">
        <v>162</v>
      </c>
      <c r="M48" s="2"/>
      <c r="N48" s="2"/>
      <c r="O48" s="397"/>
      <c r="P48" s="398" t="s">
        <v>163</v>
      </c>
      <c r="Q48" s="47" t="s">
        <v>323</v>
      </c>
      <c r="R48" s="2"/>
      <c r="S48" s="2"/>
      <c r="T48" s="401"/>
      <c r="U48" s="398" t="s">
        <v>831</v>
      </c>
    </row>
    <row r="49" spans="1:21" ht="12.75">
      <c r="A49" s="361" t="s">
        <v>219</v>
      </c>
      <c r="B49" s="138">
        <f t="shared" si="5"/>
        <v>0</v>
      </c>
      <c r="C49" s="88"/>
      <c r="D49" s="102" t="e">
        <f t="shared" si="6"/>
        <v>#DIV/0!</v>
      </c>
      <c r="E49" s="87"/>
      <c r="F49" s="88"/>
      <c r="G49" s="103" t="str">
        <f t="shared" si="7"/>
        <v>ERROR</v>
      </c>
      <c r="H49" s="87"/>
      <c r="J49" s="361" t="s">
        <v>219</v>
      </c>
      <c r="K49" s="476">
        <f t="shared" si="8"/>
        <v>0</v>
      </c>
      <c r="L49" s="47" t="s">
        <v>165</v>
      </c>
      <c r="M49" s="2"/>
      <c r="N49" s="2"/>
      <c r="O49" s="397"/>
      <c r="P49" s="398" t="s">
        <v>166</v>
      </c>
      <c r="Q49" s="467" t="s">
        <v>325</v>
      </c>
      <c r="R49" s="468"/>
      <c r="S49" s="472"/>
      <c r="T49" s="707" t="s">
        <v>326</v>
      </c>
      <c r="U49" s="708"/>
    </row>
    <row r="50" spans="1:21" ht="12.75">
      <c r="A50" s="361" t="s">
        <v>220</v>
      </c>
      <c r="B50" s="138">
        <f t="shared" si="5"/>
        <v>0</v>
      </c>
      <c r="C50" s="88"/>
      <c r="D50" s="102" t="e">
        <f t="shared" si="6"/>
        <v>#DIV/0!</v>
      </c>
      <c r="E50" s="87"/>
      <c r="F50" s="88"/>
      <c r="G50" s="103" t="str">
        <f t="shared" si="7"/>
        <v>ERROR</v>
      </c>
      <c r="H50" s="87"/>
      <c r="J50" s="361" t="s">
        <v>220</v>
      </c>
      <c r="K50" s="476">
        <f t="shared" si="8"/>
        <v>0</v>
      </c>
      <c r="L50" s="47" t="s">
        <v>324</v>
      </c>
      <c r="M50" s="2"/>
      <c r="N50" s="2"/>
      <c r="O50" s="397"/>
      <c r="P50" s="398" t="s">
        <v>161</v>
      </c>
      <c r="Q50" s="467" t="s">
        <v>328</v>
      </c>
      <c r="R50" s="468"/>
      <c r="S50" s="469"/>
      <c r="T50" s="707" t="s">
        <v>326</v>
      </c>
      <c r="U50" s="708"/>
    </row>
    <row r="51" spans="1:21" ht="12.75">
      <c r="A51" s="361" t="s">
        <v>221</v>
      </c>
      <c r="B51" s="138">
        <f t="shared" si="5"/>
        <v>0</v>
      </c>
      <c r="C51" s="88"/>
      <c r="D51" s="102" t="e">
        <f t="shared" si="6"/>
        <v>#DIV/0!</v>
      </c>
      <c r="E51" s="87"/>
      <c r="F51" s="88"/>
      <c r="G51" s="103" t="str">
        <f t="shared" si="7"/>
        <v>ERROR</v>
      </c>
      <c r="H51" s="87"/>
      <c r="J51" s="361" t="s">
        <v>221</v>
      </c>
      <c r="K51" s="476">
        <f t="shared" si="8"/>
        <v>0</v>
      </c>
      <c r="L51" s="47" t="s">
        <v>327</v>
      </c>
      <c r="M51" s="2"/>
      <c r="N51" s="2"/>
      <c r="O51" s="397"/>
      <c r="P51" s="398" t="s">
        <v>161</v>
      </c>
      <c r="Q51" s="467" t="s">
        <v>331</v>
      </c>
      <c r="R51" s="468"/>
      <c r="S51" s="468"/>
      <c r="T51" s="707" t="s">
        <v>326</v>
      </c>
      <c r="U51" s="708"/>
    </row>
    <row r="52" spans="1:21" ht="15.75">
      <c r="A52" s="361" t="s">
        <v>222</v>
      </c>
      <c r="B52" s="138">
        <f t="shared" si="5"/>
        <v>0</v>
      </c>
      <c r="C52" s="88"/>
      <c r="D52" s="102" t="e">
        <f t="shared" si="6"/>
        <v>#DIV/0!</v>
      </c>
      <c r="E52" s="87"/>
      <c r="F52" s="88"/>
      <c r="G52" s="103" t="str">
        <f t="shared" si="7"/>
        <v>ERROR</v>
      </c>
      <c r="H52" s="87"/>
      <c r="J52" s="361" t="s">
        <v>222</v>
      </c>
      <c r="K52" s="476">
        <f t="shared" si="8"/>
        <v>0</v>
      </c>
      <c r="L52" s="467" t="s">
        <v>329</v>
      </c>
      <c r="M52" s="468"/>
      <c r="N52" s="469"/>
      <c r="O52" s="397"/>
      <c r="P52" s="398" t="s">
        <v>330</v>
      </c>
      <c r="Q52" s="467" t="s">
        <v>333</v>
      </c>
      <c r="R52" s="468"/>
      <c r="S52" s="468"/>
      <c r="T52" s="707" t="s">
        <v>326</v>
      </c>
      <c r="U52" s="708"/>
    </row>
    <row r="53" spans="1:21" ht="12.75">
      <c r="A53" s="361" t="s">
        <v>223</v>
      </c>
      <c r="B53" s="138">
        <f t="shared" si="5"/>
        <v>0</v>
      </c>
      <c r="C53" s="88"/>
      <c r="D53" s="102" t="e">
        <f t="shared" si="6"/>
        <v>#DIV/0!</v>
      </c>
      <c r="E53" s="87"/>
      <c r="F53" s="88"/>
      <c r="G53" s="103" t="str">
        <f t="shared" si="7"/>
        <v>ERROR</v>
      </c>
      <c r="H53" s="87"/>
      <c r="J53" s="361" t="s">
        <v>223</v>
      </c>
      <c r="K53" s="476">
        <f t="shared" si="8"/>
        <v>0</v>
      </c>
      <c r="L53" s="467" t="s">
        <v>332</v>
      </c>
      <c r="M53" s="468"/>
      <c r="N53" s="469"/>
      <c r="O53" s="397" t="s">
        <v>101</v>
      </c>
      <c r="P53" s="398"/>
      <c r="Q53" s="467" t="s">
        <v>719</v>
      </c>
      <c r="R53" s="468"/>
      <c r="S53" s="468"/>
      <c r="T53" s="707" t="s">
        <v>326</v>
      </c>
      <c r="U53" s="708"/>
    </row>
    <row r="54" spans="1:21" ht="12.75">
      <c r="A54" s="361" t="s">
        <v>224</v>
      </c>
      <c r="B54" s="138">
        <f t="shared" si="5"/>
        <v>0</v>
      </c>
      <c r="C54" s="88"/>
      <c r="D54" s="102" t="e">
        <f t="shared" si="6"/>
        <v>#DIV/0!</v>
      </c>
      <c r="E54" s="87"/>
      <c r="F54" s="88"/>
      <c r="G54" s="103" t="str">
        <f t="shared" si="7"/>
        <v>ERROR</v>
      </c>
      <c r="H54" s="87"/>
      <c r="J54" s="361" t="s">
        <v>224</v>
      </c>
      <c r="K54" s="476">
        <f t="shared" si="8"/>
        <v>0</v>
      </c>
      <c r="L54" s="484" t="s">
        <v>168</v>
      </c>
      <c r="M54" s="402"/>
      <c r="N54" s="402"/>
      <c r="O54" s="403"/>
      <c r="P54" s="404" t="s">
        <v>166</v>
      </c>
      <c r="Q54" s="479" t="s">
        <v>721</v>
      </c>
      <c r="R54" s="480"/>
      <c r="S54" s="481"/>
      <c r="T54" s="688" t="s">
        <v>326</v>
      </c>
      <c r="U54" s="689"/>
    </row>
    <row r="55" spans="1:21" ht="13.5" thickBot="1">
      <c r="A55" s="362" t="s">
        <v>225</v>
      </c>
      <c r="B55" s="139">
        <f t="shared" si="5"/>
        <v>0</v>
      </c>
      <c r="C55" s="89"/>
      <c r="D55" s="104" t="e">
        <f t="shared" si="6"/>
        <v>#DIV/0!</v>
      </c>
      <c r="E55" s="90"/>
      <c r="F55" s="89"/>
      <c r="G55" s="105" t="str">
        <f t="shared" si="7"/>
        <v>ERROR</v>
      </c>
      <c r="H55" s="90"/>
      <c r="J55" s="362" t="s">
        <v>225</v>
      </c>
      <c r="K55" s="473">
        <f t="shared" si="8"/>
        <v>0</v>
      </c>
      <c r="L55" s="477" t="s">
        <v>720</v>
      </c>
      <c r="M55" s="478"/>
      <c r="N55" s="478"/>
      <c r="O55" s="51"/>
      <c r="P55" s="51"/>
      <c r="Q55" s="667" t="s">
        <v>308</v>
      </c>
      <c r="R55" s="10"/>
      <c r="S55" s="10"/>
      <c r="T55" s="10"/>
      <c r="U55" s="11"/>
    </row>
    <row r="57" s="46" customFormat="1" ht="12.75">
      <c r="A57" s="1" t="s">
        <v>534</v>
      </c>
    </row>
    <row r="58" s="46" customFormat="1" ht="12.75">
      <c r="A58" s="55" t="s">
        <v>584</v>
      </c>
    </row>
    <row r="59" spans="1:20" ht="13.5" customHeight="1">
      <c r="A59" s="483">
        <v>1</v>
      </c>
      <c r="B59" s="228" t="s">
        <v>42</v>
      </c>
      <c r="C59" s="224"/>
      <c r="D59" s="224"/>
      <c r="E59" s="224"/>
      <c r="F59" s="224"/>
      <c r="G59" s="224"/>
      <c r="H59" s="224"/>
      <c r="I59" s="224"/>
      <c r="J59" s="224"/>
      <c r="K59" s="224"/>
      <c r="L59" s="224"/>
      <c r="M59" s="224"/>
      <c r="N59" s="224"/>
      <c r="O59" s="224"/>
      <c r="P59" s="224"/>
      <c r="Q59" s="3"/>
      <c r="R59" s="3"/>
      <c r="S59" s="3"/>
      <c r="T59" s="3"/>
    </row>
    <row r="60" spans="1:21" ht="13.5" customHeight="1">
      <c r="A60" s="483">
        <v>2</v>
      </c>
      <c r="B60" s="705" t="s">
        <v>743</v>
      </c>
      <c r="C60" s="706"/>
      <c r="D60" s="706"/>
      <c r="E60" s="706"/>
      <c r="F60" s="706"/>
      <c r="G60" s="706"/>
      <c r="H60" s="706"/>
      <c r="I60" s="706"/>
      <c r="J60" s="706"/>
      <c r="K60" s="706"/>
      <c r="L60" s="706"/>
      <c r="M60" s="706"/>
      <c r="N60" s="706"/>
      <c r="O60" s="706"/>
      <c r="P60" s="706"/>
      <c r="Q60" s="706"/>
      <c r="R60" s="706"/>
      <c r="S60" s="706"/>
      <c r="T60" s="706"/>
      <c r="U60" s="706"/>
    </row>
    <row r="61" spans="1:20" ht="13.5" customHeight="1">
      <c r="A61" s="483">
        <v>3</v>
      </c>
      <c r="B61" s="228" t="s">
        <v>159</v>
      </c>
      <c r="C61" s="224"/>
      <c r="D61" s="224"/>
      <c r="E61" s="224"/>
      <c r="F61" s="224"/>
      <c r="G61" s="224"/>
      <c r="H61" s="224"/>
      <c r="I61" s="224"/>
      <c r="J61" s="224"/>
      <c r="K61" s="224"/>
      <c r="L61" s="224"/>
      <c r="M61" s="224"/>
      <c r="N61" s="224"/>
      <c r="O61" s="224"/>
      <c r="P61" s="224"/>
      <c r="Q61" s="3"/>
      <c r="R61" s="3"/>
      <c r="S61" s="3"/>
      <c r="T61" s="3"/>
    </row>
    <row r="62" spans="1:20" ht="13.5" customHeight="1">
      <c r="A62" s="483">
        <v>4</v>
      </c>
      <c r="B62" s="228" t="s">
        <v>160</v>
      </c>
      <c r="C62" s="224"/>
      <c r="D62" s="224"/>
      <c r="E62" s="224"/>
      <c r="F62" s="224"/>
      <c r="G62" s="224"/>
      <c r="H62" s="224"/>
      <c r="I62" s="224"/>
      <c r="J62" s="224"/>
      <c r="K62" s="224"/>
      <c r="L62" s="224"/>
      <c r="M62" s="224"/>
      <c r="N62" s="224"/>
      <c r="O62" s="224"/>
      <c r="P62" s="224"/>
      <c r="Q62" s="3"/>
      <c r="R62" s="3"/>
      <c r="S62" s="3"/>
      <c r="T62" s="3"/>
    </row>
    <row r="63" spans="1:21" ht="30.75" customHeight="1">
      <c r="A63" s="483">
        <v>5</v>
      </c>
      <c r="B63" s="705" t="s">
        <v>157</v>
      </c>
      <c r="C63" s="706"/>
      <c r="D63" s="706"/>
      <c r="E63" s="706"/>
      <c r="F63" s="706"/>
      <c r="G63" s="706"/>
      <c r="H63" s="706"/>
      <c r="I63" s="706"/>
      <c r="J63" s="706"/>
      <c r="K63" s="706"/>
      <c r="L63" s="706"/>
      <c r="M63" s="706"/>
      <c r="N63" s="706"/>
      <c r="O63" s="706"/>
      <c r="P63" s="706"/>
      <c r="Q63" s="706"/>
      <c r="R63" s="706"/>
      <c r="S63" s="706"/>
      <c r="T63" s="706"/>
      <c r="U63" s="706"/>
    </row>
    <row r="64" spans="1:21" ht="18" customHeight="1">
      <c r="A64" s="483">
        <v>6</v>
      </c>
      <c r="B64" s="687" t="s">
        <v>517</v>
      </c>
      <c r="C64" s="706"/>
      <c r="D64" s="706"/>
      <c r="E64" s="706"/>
      <c r="F64" s="706"/>
      <c r="G64" s="706"/>
      <c r="H64" s="706"/>
      <c r="I64" s="706"/>
      <c r="J64" s="706"/>
      <c r="K64" s="706"/>
      <c r="L64" s="706"/>
      <c r="M64" s="706"/>
      <c r="N64" s="706"/>
      <c r="O64" s="706"/>
      <c r="P64" s="706"/>
      <c r="Q64" s="706"/>
      <c r="R64" s="706"/>
      <c r="S64" s="706"/>
      <c r="T64" s="706"/>
      <c r="U64" s="706"/>
    </row>
    <row r="65" spans="1:21" ht="25.5" customHeight="1">
      <c r="A65" s="483">
        <v>7</v>
      </c>
      <c r="B65" s="686" t="s">
        <v>581</v>
      </c>
      <c r="C65" s="706"/>
      <c r="D65" s="706"/>
      <c r="E65" s="706"/>
      <c r="F65" s="706"/>
      <c r="G65" s="706"/>
      <c r="H65" s="706"/>
      <c r="I65" s="706"/>
      <c r="J65" s="706"/>
      <c r="K65" s="706"/>
      <c r="L65" s="706"/>
      <c r="M65" s="706"/>
      <c r="N65" s="706"/>
      <c r="O65" s="706"/>
      <c r="P65" s="706"/>
      <c r="Q65" s="706"/>
      <c r="R65" s="706"/>
      <c r="S65" s="706"/>
      <c r="T65" s="706"/>
      <c r="U65" s="706"/>
    </row>
    <row r="66" spans="1:21" ht="12.75">
      <c r="A66" s="483">
        <v>8</v>
      </c>
      <c r="B66" s="705" t="s">
        <v>583</v>
      </c>
      <c r="C66" s="706"/>
      <c r="D66" s="706"/>
      <c r="E66" s="706"/>
      <c r="F66" s="706"/>
      <c r="G66" s="706"/>
      <c r="H66" s="706"/>
      <c r="I66" s="706"/>
      <c r="J66" s="706"/>
      <c r="K66" s="706"/>
      <c r="L66" s="706"/>
      <c r="M66" s="706"/>
      <c r="N66" s="706"/>
      <c r="O66" s="706"/>
      <c r="P66" s="706"/>
      <c r="Q66" s="706"/>
      <c r="R66" s="706"/>
      <c r="S66" s="706"/>
      <c r="T66" s="706"/>
      <c r="U66" s="706"/>
    </row>
    <row r="67" spans="1:21" ht="24.75" customHeight="1">
      <c r="A67" s="483">
        <v>9</v>
      </c>
      <c r="B67" s="723" t="s">
        <v>186</v>
      </c>
      <c r="C67" s="706"/>
      <c r="D67" s="706"/>
      <c r="E67" s="706"/>
      <c r="F67" s="706"/>
      <c r="G67" s="706"/>
      <c r="H67" s="706"/>
      <c r="I67" s="706"/>
      <c r="J67" s="706"/>
      <c r="K67" s="706"/>
      <c r="L67" s="706"/>
      <c r="M67" s="706"/>
      <c r="N67" s="706"/>
      <c r="O67" s="706"/>
      <c r="P67" s="706"/>
      <c r="Q67" s="706"/>
      <c r="R67" s="706"/>
      <c r="S67" s="706"/>
      <c r="T67" s="706"/>
      <c r="U67" s="706"/>
    </row>
    <row r="68" spans="1:20" ht="13.5" customHeight="1">
      <c r="A68" s="483">
        <v>10</v>
      </c>
      <c r="B68" s="224" t="s">
        <v>257</v>
      </c>
      <c r="C68" s="224"/>
      <c r="D68" s="224"/>
      <c r="E68" s="224"/>
      <c r="F68" s="224"/>
      <c r="G68" s="224"/>
      <c r="H68" s="224"/>
      <c r="I68" s="224"/>
      <c r="J68" s="224"/>
      <c r="K68" s="224"/>
      <c r="L68" s="224"/>
      <c r="M68" s="224"/>
      <c r="N68" s="224"/>
      <c r="O68" s="224"/>
      <c r="P68" s="224"/>
      <c r="Q68" s="3"/>
      <c r="R68" s="3"/>
      <c r="S68" s="3"/>
      <c r="T68" s="3"/>
    </row>
    <row r="69" spans="1:20" ht="13.5" customHeight="1">
      <c r="A69" s="483">
        <v>11</v>
      </c>
      <c r="B69" s="224" t="s">
        <v>533</v>
      </c>
      <c r="C69" s="224"/>
      <c r="D69" s="224"/>
      <c r="E69" s="224"/>
      <c r="F69" s="224"/>
      <c r="G69" s="224"/>
      <c r="H69" s="224"/>
      <c r="I69" s="224"/>
      <c r="J69" s="224"/>
      <c r="K69" s="224"/>
      <c r="L69" s="224"/>
      <c r="M69" s="224"/>
      <c r="N69" s="224"/>
      <c r="O69" s="224"/>
      <c r="P69" s="224"/>
      <c r="Q69" s="3"/>
      <c r="R69" s="3"/>
      <c r="S69" s="3"/>
      <c r="T69" s="3"/>
    </row>
    <row r="70" spans="1:20" ht="13.5" customHeight="1">
      <c r="A70" s="483">
        <v>12</v>
      </c>
      <c r="B70" s="228" t="s">
        <v>319</v>
      </c>
      <c r="C70" s="224"/>
      <c r="D70" s="224"/>
      <c r="E70" s="224"/>
      <c r="F70" s="224"/>
      <c r="G70" s="224"/>
      <c r="H70" s="224"/>
      <c r="I70" s="224"/>
      <c r="J70" s="224"/>
      <c r="K70" s="224"/>
      <c r="L70" s="224"/>
      <c r="M70" s="224"/>
      <c r="N70" s="224"/>
      <c r="O70" s="224"/>
      <c r="P70" s="224"/>
      <c r="Q70" s="3"/>
      <c r="R70" s="3"/>
      <c r="S70" s="3"/>
      <c r="T70" s="3"/>
    </row>
    <row r="71" spans="1:21" ht="12.75">
      <c r="A71" s="483">
        <v>13</v>
      </c>
      <c r="B71" s="687" t="s">
        <v>10</v>
      </c>
      <c r="C71" s="706"/>
      <c r="D71" s="706"/>
      <c r="E71" s="706"/>
      <c r="F71" s="706"/>
      <c r="G71" s="706"/>
      <c r="H71" s="706"/>
      <c r="I71" s="706"/>
      <c r="J71" s="706"/>
      <c r="K71" s="706"/>
      <c r="L71" s="706"/>
      <c r="M71" s="706"/>
      <c r="N71" s="706"/>
      <c r="O71" s="706"/>
      <c r="P71" s="706"/>
      <c r="Q71" s="706"/>
      <c r="R71" s="706"/>
      <c r="S71" s="706"/>
      <c r="T71" s="706"/>
      <c r="U71" s="706"/>
    </row>
    <row r="72" spans="1:21" ht="12.75">
      <c r="A72" s="483">
        <v>14</v>
      </c>
      <c r="B72" s="687" t="s">
        <v>813</v>
      </c>
      <c r="C72" s="706"/>
      <c r="D72" s="706"/>
      <c r="E72" s="706"/>
      <c r="F72" s="706"/>
      <c r="G72" s="706"/>
      <c r="H72" s="706"/>
      <c r="I72" s="706"/>
      <c r="J72" s="706"/>
      <c r="K72" s="706"/>
      <c r="L72" s="706"/>
      <c r="M72" s="706"/>
      <c r="N72" s="706"/>
      <c r="O72" s="706"/>
      <c r="P72" s="706"/>
      <c r="Q72" s="706"/>
      <c r="R72" s="706"/>
      <c r="S72" s="706"/>
      <c r="T72" s="706"/>
      <c r="U72" s="706"/>
    </row>
    <row r="73" spans="1:20" s="45" customFormat="1" ht="13.5" customHeight="1">
      <c r="A73" s="483">
        <v>15</v>
      </c>
      <c r="B73" s="224" t="s">
        <v>320</v>
      </c>
      <c r="C73" s="482"/>
      <c r="D73" s="482"/>
      <c r="E73" s="482"/>
      <c r="F73" s="482"/>
      <c r="G73" s="482"/>
      <c r="H73" s="482"/>
      <c r="I73" s="482"/>
      <c r="J73" s="482"/>
      <c r="K73" s="482"/>
      <c r="L73" s="482"/>
      <c r="M73" s="482"/>
      <c r="N73" s="482"/>
      <c r="O73" s="482"/>
      <c r="P73" s="482"/>
      <c r="Q73" s="482"/>
      <c r="R73" s="482"/>
      <c r="S73" s="482"/>
      <c r="T73" s="482"/>
    </row>
    <row r="74" spans="1:3" s="45" customFormat="1" ht="13.5" customHeight="1">
      <c r="A74" s="175"/>
      <c r="B74" s="175"/>
      <c r="C74" s="224"/>
    </row>
    <row r="75" spans="1:2" ht="12.75">
      <c r="A75" s="23" t="s">
        <v>231</v>
      </c>
      <c r="B75" s="3"/>
    </row>
    <row r="76" ht="12.75">
      <c r="B76" s="32" t="s">
        <v>782</v>
      </c>
    </row>
    <row r="77" ht="12.75">
      <c r="B77" s="32" t="s">
        <v>274</v>
      </c>
    </row>
    <row r="78" ht="12.75">
      <c r="B78" s="32" t="s">
        <v>275</v>
      </c>
    </row>
    <row r="80" spans="1:2" ht="12.75">
      <c r="A80" s="23" t="s">
        <v>997</v>
      </c>
      <c r="B80" s="3"/>
    </row>
    <row r="81" spans="1:21" ht="38.25" customHeight="1">
      <c r="A81" s="122" t="s">
        <v>645</v>
      </c>
      <c r="B81" s="716" t="s">
        <v>690</v>
      </c>
      <c r="C81" s="717"/>
      <c r="D81" s="717"/>
      <c r="E81" s="717"/>
      <c r="F81" s="717"/>
      <c r="G81" s="717"/>
      <c r="H81" s="717"/>
      <c r="I81" s="717"/>
      <c r="J81" s="717"/>
      <c r="K81" s="717"/>
      <c r="L81" s="717"/>
      <c r="M81" s="717"/>
      <c r="N81" s="717"/>
      <c r="O81" s="717"/>
      <c r="P81" s="717"/>
      <c r="Q81" s="717"/>
      <c r="R81" s="718"/>
      <c r="S81" s="718"/>
      <c r="T81" s="718"/>
      <c r="U81" s="718"/>
    </row>
    <row r="82" spans="1:2" ht="12.75">
      <c r="A82" s="69" t="s">
        <v>646</v>
      </c>
      <c r="B82" s="32" t="s">
        <v>77</v>
      </c>
    </row>
    <row r="83" spans="1:21" ht="27" customHeight="1">
      <c r="A83" s="122" t="s">
        <v>647</v>
      </c>
      <c r="B83" s="719" t="s">
        <v>317</v>
      </c>
      <c r="C83" s="719"/>
      <c r="D83" s="719"/>
      <c r="E83" s="719"/>
      <c r="F83" s="719"/>
      <c r="G83" s="719"/>
      <c r="H83" s="719"/>
      <c r="I83" s="719"/>
      <c r="J83" s="719"/>
      <c r="K83" s="719"/>
      <c r="L83" s="719"/>
      <c r="M83" s="719"/>
      <c r="N83" s="719"/>
      <c r="O83" s="719"/>
      <c r="P83" s="719"/>
      <c r="Q83" s="719"/>
      <c r="R83" s="718"/>
      <c r="S83" s="718"/>
      <c r="T83" s="718"/>
      <c r="U83" s="718"/>
    </row>
    <row r="84" spans="1:2" ht="12.75">
      <c r="A84" s="32"/>
      <c r="B84" s="176"/>
    </row>
    <row r="85" spans="1:2" ht="12.75">
      <c r="A85" s="1" t="s">
        <v>664</v>
      </c>
      <c r="B85" s="176"/>
    </row>
    <row r="86" spans="2:3" ht="12.75">
      <c r="B86" s="356" t="s">
        <v>820</v>
      </c>
      <c r="C86" s="42" t="s">
        <v>592</v>
      </c>
    </row>
    <row r="87" spans="2:3" ht="12.75">
      <c r="B87" s="356" t="s">
        <v>495</v>
      </c>
      <c r="C87" s="42" t="s">
        <v>747</v>
      </c>
    </row>
    <row r="88" ht="12.75">
      <c r="B88" s="3"/>
    </row>
    <row r="89" spans="2:11" ht="12.75">
      <c r="B89" s="69" t="s">
        <v>821</v>
      </c>
      <c r="C89" s="80" t="s">
        <v>496</v>
      </c>
      <c r="E89" s="42"/>
      <c r="H89" s="3"/>
      <c r="I89" s="3"/>
      <c r="J89" s="3"/>
      <c r="K89" s="3"/>
    </row>
    <row r="90" spans="3:11" ht="12.75">
      <c r="C90" s="80" t="s">
        <v>497</v>
      </c>
      <c r="D90" s="3"/>
      <c r="E90" s="3"/>
      <c r="F90" s="3"/>
      <c r="G90" s="3"/>
      <c r="H90" s="3"/>
      <c r="I90" s="3"/>
      <c r="J90" s="3"/>
      <c r="K90" s="3"/>
    </row>
    <row r="91" ht="12.75">
      <c r="C91" s="80" t="s">
        <v>822</v>
      </c>
    </row>
    <row r="92" spans="3:19" ht="12.75">
      <c r="C92" s="358" t="s">
        <v>746</v>
      </c>
      <c r="S92" s="42" t="s">
        <v>998</v>
      </c>
    </row>
    <row r="93" spans="2:4" ht="12.75">
      <c r="B93" s="3"/>
      <c r="C93" s="80" t="s">
        <v>40</v>
      </c>
      <c r="D93" s="3"/>
    </row>
    <row r="94" spans="2:3" ht="12.75">
      <c r="B94" s="3"/>
      <c r="C94" s="80" t="s">
        <v>185</v>
      </c>
    </row>
    <row r="95" spans="2:3" ht="12.75">
      <c r="B95" s="3"/>
      <c r="C95" s="3"/>
    </row>
  </sheetData>
  <sheetProtection password="D24B" sheet="1" selectLockedCells="1"/>
  <mergeCells count="38">
    <mergeCell ref="AE20:AH20"/>
    <mergeCell ref="AE21:AF21"/>
    <mergeCell ref="AG21:AH21"/>
    <mergeCell ref="E23:H23"/>
    <mergeCell ref="B81:U81"/>
    <mergeCell ref="B83:U83"/>
    <mergeCell ref="C45:E45"/>
    <mergeCell ref="F45:H45"/>
    <mergeCell ref="B63:U63"/>
    <mergeCell ref="B64:U64"/>
    <mergeCell ref="B72:U72"/>
    <mergeCell ref="T49:U49"/>
    <mergeCell ref="B67:U67"/>
    <mergeCell ref="T53:U53"/>
    <mergeCell ref="B65:U65"/>
    <mergeCell ref="B71:U71"/>
    <mergeCell ref="A8:B8"/>
    <mergeCell ref="E8:H8"/>
    <mergeCell ref="T54:U54"/>
    <mergeCell ref="T51:U51"/>
    <mergeCell ref="T50:U50"/>
    <mergeCell ref="B60:U60"/>
    <mergeCell ref="D9:I9"/>
    <mergeCell ref="J9:T9"/>
    <mergeCell ref="L44:U44"/>
    <mergeCell ref="J43:U43"/>
    <mergeCell ref="C43:E43"/>
    <mergeCell ref="F43:H43"/>
    <mergeCell ref="A5:B5"/>
    <mergeCell ref="B66:U66"/>
    <mergeCell ref="T52:U52"/>
    <mergeCell ref="F44:H44"/>
    <mergeCell ref="M23:Q23"/>
    <mergeCell ref="C30:E30"/>
    <mergeCell ref="C31:E31"/>
    <mergeCell ref="H35:P35"/>
    <mergeCell ref="A6:B6"/>
    <mergeCell ref="C44:E44"/>
  </mergeCells>
  <printOptions/>
  <pageMargins left="0.5" right="0.5" top="0.35" bottom="0.4" header="0.35" footer="0.4"/>
  <pageSetup fitToHeight="0" fitToWidth="1" orientation="landscape" scale="65" r:id="rId3"/>
  <headerFooter alignWithMargins="0">
    <oddFooter>&amp;L&amp;8November 2011 Version</oddFooter>
  </headerFooter>
  <rowBreaks count="1" manualBreakCount="1">
    <brk id="56" max="20" man="1"/>
  </rowBreaks>
  <drawing r:id="rId2"/>
  <legacyDrawing r:id="rId1"/>
</worksheet>
</file>

<file path=xl/worksheets/sheet10.xml><?xml version="1.0" encoding="utf-8"?>
<worksheet xmlns="http://schemas.openxmlformats.org/spreadsheetml/2006/main" xmlns:r="http://schemas.openxmlformats.org/officeDocument/2006/relationships">
  <sheetPr codeName="Sheet26">
    <tabColor indexed="50"/>
    <pageSetUpPr fitToPage="1"/>
  </sheetPr>
  <dimension ref="A1:K75"/>
  <sheetViews>
    <sheetView zoomScaleSheetLayoutView="100" zoomScalePageLayoutView="0" workbookViewId="0" topLeftCell="A1">
      <selection activeCell="C10" sqref="C10"/>
    </sheetView>
  </sheetViews>
  <sheetFormatPr defaultColWidth="8.8515625" defaultRowHeight="12.75"/>
  <cols>
    <col min="1" max="1" width="9.7109375" style="0" customWidth="1"/>
    <col min="2" max="2" width="39.421875" style="0" customWidth="1"/>
    <col min="3" max="3" width="9.140625" customWidth="1"/>
    <col min="4" max="4" width="1.7109375" style="0" customWidth="1"/>
    <col min="5" max="5" width="55.140625" style="0" customWidth="1"/>
    <col min="6" max="6" width="4.140625" style="0" customWidth="1"/>
    <col min="7" max="7" width="10.140625" style="0" customWidth="1"/>
    <col min="8" max="8" width="39.140625" style="0" customWidth="1"/>
    <col min="9" max="11" width="8.8515625" style="0" customWidth="1"/>
    <col min="12" max="16384" width="9.140625" customWidth="1"/>
  </cols>
  <sheetData>
    <row r="1" ht="14.25" customHeight="1">
      <c r="A1" s="38" t="s">
        <v>693</v>
      </c>
    </row>
    <row r="2" ht="12.75">
      <c r="A2" s="32" t="s">
        <v>279</v>
      </c>
    </row>
    <row r="7" spans="1:2" ht="12.75">
      <c r="A7" s="23"/>
      <c r="B7" s="32"/>
    </row>
    <row r="8" ht="12.75">
      <c r="A8" s="23" t="s">
        <v>666</v>
      </c>
    </row>
    <row r="9" spans="1:2" ht="13.5" thickBot="1">
      <c r="A9" s="1" t="s">
        <v>682</v>
      </c>
      <c r="B9" s="1"/>
    </row>
    <row r="10" spans="1:6" ht="12.75">
      <c r="A10" s="425">
        <v>1</v>
      </c>
      <c r="B10" s="5" t="s">
        <v>519</v>
      </c>
      <c r="C10" s="587"/>
      <c r="D10" s="15"/>
      <c r="E10" s="16" t="s">
        <v>213</v>
      </c>
      <c r="F10" s="7"/>
    </row>
    <row r="11" spans="1:6" ht="12.75">
      <c r="A11" s="425">
        <v>2</v>
      </c>
      <c r="B11" s="158" t="s">
        <v>683</v>
      </c>
      <c r="C11" s="607"/>
      <c r="D11" s="7"/>
      <c r="E11" s="73" t="s">
        <v>203</v>
      </c>
      <c r="F11" s="7"/>
    </row>
    <row r="12" spans="1:6" ht="12.75">
      <c r="A12" s="425">
        <v>3</v>
      </c>
      <c r="B12" s="84" t="s">
        <v>204</v>
      </c>
      <c r="C12" s="585"/>
      <c r="D12" s="7"/>
      <c r="E12" s="74" t="s">
        <v>360</v>
      </c>
      <c r="F12" s="7"/>
    </row>
    <row r="13" spans="1:11" ht="12.75">
      <c r="A13" s="425">
        <v>4</v>
      </c>
      <c r="B13" s="84" t="s">
        <v>201</v>
      </c>
      <c r="C13" s="585"/>
      <c r="D13" s="7"/>
      <c r="E13" s="73" t="s">
        <v>202</v>
      </c>
      <c r="F13" s="7"/>
      <c r="G13" s="4"/>
      <c r="H13" s="35"/>
      <c r="I13" s="35"/>
      <c r="J13" s="2"/>
      <c r="K13" s="35"/>
    </row>
    <row r="14" spans="1:11" ht="12.75">
      <c r="A14" s="425">
        <v>5</v>
      </c>
      <c r="B14" s="84" t="s">
        <v>372</v>
      </c>
      <c r="C14" s="602">
        <v>0.35</v>
      </c>
      <c r="D14" s="7"/>
      <c r="E14" s="74" t="s">
        <v>291</v>
      </c>
      <c r="F14" s="2"/>
      <c r="G14" s="4"/>
      <c r="H14" s="35"/>
      <c r="I14" s="2"/>
      <c r="J14" s="2"/>
      <c r="K14" s="35"/>
    </row>
    <row r="15" spans="1:11" ht="12.75">
      <c r="A15" s="425"/>
      <c r="B15" s="72" t="s">
        <v>371</v>
      </c>
      <c r="C15" s="608">
        <v>2</v>
      </c>
      <c r="D15" s="7"/>
      <c r="E15" s="74" t="s">
        <v>426</v>
      </c>
      <c r="F15" s="2"/>
      <c r="G15" s="4"/>
      <c r="H15" s="35"/>
      <c r="I15" s="53"/>
      <c r="J15" s="2"/>
      <c r="K15" s="35"/>
    </row>
    <row r="16" spans="1:11" ht="12.75" hidden="1">
      <c r="A16" s="425"/>
      <c r="B16" s="72" t="s">
        <v>806</v>
      </c>
      <c r="C16" s="608">
        <v>1</v>
      </c>
      <c r="D16" s="7"/>
      <c r="E16" s="74" t="s">
        <v>444</v>
      </c>
      <c r="F16" s="2"/>
      <c r="G16" s="4"/>
      <c r="H16" s="35"/>
      <c r="I16" s="164"/>
      <c r="J16" s="2"/>
      <c r="K16" s="35"/>
    </row>
    <row r="17" spans="1:11" ht="12.75">
      <c r="A17" s="425">
        <v>6</v>
      </c>
      <c r="B17" s="72" t="s">
        <v>242</v>
      </c>
      <c r="C17" s="609"/>
      <c r="D17" s="7"/>
      <c r="E17" s="74" t="s">
        <v>370</v>
      </c>
      <c r="F17" s="2"/>
      <c r="G17" s="4"/>
      <c r="H17" s="35"/>
      <c r="I17" s="2"/>
      <c r="J17" s="2"/>
      <c r="K17" s="35"/>
    </row>
    <row r="18" spans="1:11" ht="13.5" thickBot="1">
      <c r="A18" s="425">
        <v>7</v>
      </c>
      <c r="B18" s="9" t="s">
        <v>293</v>
      </c>
      <c r="C18" s="610">
        <v>1</v>
      </c>
      <c r="D18" s="10"/>
      <c r="E18" s="124" t="s">
        <v>417</v>
      </c>
      <c r="F18" s="7"/>
      <c r="G18" s="4"/>
      <c r="H18" s="20"/>
      <c r="I18" s="2"/>
      <c r="J18" s="2"/>
      <c r="K18" s="35"/>
    </row>
    <row r="19" spans="1:11" ht="13.5" thickBot="1">
      <c r="A19" s="466"/>
      <c r="B19" s="18"/>
      <c r="C19" s="161"/>
      <c r="D19" s="18"/>
      <c r="E19" s="131"/>
      <c r="F19" s="7"/>
      <c r="G19" s="4"/>
      <c r="H19" s="2"/>
      <c r="I19" s="2"/>
      <c r="J19" s="2"/>
      <c r="K19" s="2"/>
    </row>
    <row r="20" spans="1:11" ht="12.75">
      <c r="A20" s="425">
        <v>8</v>
      </c>
      <c r="B20" s="137" t="s">
        <v>296</v>
      </c>
      <c r="C20" s="134" t="e">
        <f>IF(C11="Yes",C10/C12*C13/(C15/C16/12)/(C17/2+C13),C10/(C21+C17))</f>
        <v>#DIV/0!</v>
      </c>
      <c r="D20" s="83"/>
      <c r="E20" s="33" t="s">
        <v>208</v>
      </c>
      <c r="F20" s="7"/>
      <c r="G20" s="4"/>
      <c r="H20" s="2"/>
      <c r="I20" s="2"/>
      <c r="J20" s="2"/>
      <c r="K20" s="2"/>
    </row>
    <row r="21" spans="1:11" ht="12.75" hidden="1">
      <c r="A21" s="425"/>
      <c r="B21" s="155" t="s">
        <v>365</v>
      </c>
      <c r="C21" s="297" t="e">
        <f>C18*C15/C16/12*(C13+C17/2)/C13</f>
        <v>#DIV/0!</v>
      </c>
      <c r="D21" s="2"/>
      <c r="E21" s="156" t="s">
        <v>381</v>
      </c>
      <c r="F21" s="3"/>
      <c r="G21" s="4"/>
      <c r="H21" s="2"/>
      <c r="I21" s="2"/>
      <c r="J21" s="2"/>
      <c r="K21" s="2"/>
    </row>
    <row r="22" spans="1:11" ht="12.75">
      <c r="A22" s="425">
        <v>9</v>
      </c>
      <c r="B22" s="155" t="s">
        <v>197</v>
      </c>
      <c r="C22" s="298" t="e">
        <f>C20*(C17+C21)</f>
        <v>#DIV/0!</v>
      </c>
      <c r="D22" s="2"/>
      <c r="E22" s="74" t="s">
        <v>213</v>
      </c>
      <c r="F22" s="3"/>
      <c r="G22" s="4"/>
      <c r="H22" s="2"/>
      <c r="I22" s="2"/>
      <c r="J22" s="2"/>
      <c r="K22" s="2"/>
    </row>
    <row r="23" spans="1:11" ht="14.25">
      <c r="A23" s="425"/>
      <c r="B23" s="84" t="s">
        <v>373</v>
      </c>
      <c r="C23" s="298" t="e">
        <f>C10-C22</f>
        <v>#DIV/0!</v>
      </c>
      <c r="D23" s="7"/>
      <c r="E23" s="74" t="s">
        <v>591</v>
      </c>
      <c r="F23" s="3"/>
      <c r="G23" s="4"/>
      <c r="H23" s="2"/>
      <c r="I23" s="2"/>
      <c r="J23" s="2"/>
      <c r="K23" s="2"/>
    </row>
    <row r="24" spans="1:11" ht="12.75">
      <c r="A24" s="425">
        <v>10</v>
      </c>
      <c r="B24" s="155" t="s">
        <v>198</v>
      </c>
      <c r="C24" s="611"/>
      <c r="D24" s="2"/>
      <c r="E24" s="655" t="s">
        <v>913</v>
      </c>
      <c r="F24" s="3"/>
      <c r="G24" s="4"/>
      <c r="H24" s="2"/>
      <c r="I24" s="2"/>
      <c r="J24" s="2"/>
      <c r="K24" s="2"/>
    </row>
    <row r="25" spans="1:11" ht="13.5" thickBot="1">
      <c r="A25" s="425">
        <v>11</v>
      </c>
      <c r="B25" s="487" t="s">
        <v>199</v>
      </c>
      <c r="C25" s="157" t="e">
        <f>C23/C24</f>
        <v>#DIV/0!</v>
      </c>
      <c r="D25" s="51"/>
      <c r="E25" s="43" t="s">
        <v>208</v>
      </c>
      <c r="F25" s="3"/>
      <c r="G25" s="4"/>
      <c r="H25" s="2"/>
      <c r="I25" s="2"/>
      <c r="J25" s="2"/>
      <c r="K25" s="2"/>
    </row>
    <row r="26" spans="1:11" ht="13.5" thickBot="1">
      <c r="A26" s="466"/>
      <c r="B26" s="159"/>
      <c r="C26" s="160"/>
      <c r="D26" s="85"/>
      <c r="E26" s="85"/>
      <c r="F26" s="2"/>
      <c r="G26" s="4"/>
      <c r="H26" s="20"/>
      <c r="I26" s="41"/>
      <c r="J26" s="2"/>
      <c r="K26" s="35"/>
    </row>
    <row r="27" spans="1:11" ht="12.75">
      <c r="A27" s="425">
        <v>12</v>
      </c>
      <c r="B27" s="79" t="s">
        <v>195</v>
      </c>
      <c r="C27" s="612"/>
      <c r="D27" s="15"/>
      <c r="E27" s="123" t="s">
        <v>208</v>
      </c>
      <c r="F27" s="3"/>
      <c r="G27" s="4"/>
      <c r="H27" s="35"/>
      <c r="I27" s="67"/>
      <c r="J27" s="2"/>
      <c r="K27" s="35"/>
    </row>
    <row r="28" spans="1:11" ht="13.5" thickBot="1">
      <c r="A28" s="425">
        <v>13</v>
      </c>
      <c r="B28" s="163" t="s">
        <v>200</v>
      </c>
      <c r="C28" s="150" t="e">
        <f>(C25+C20)/C27</f>
        <v>#DIV/0!</v>
      </c>
      <c r="D28" s="10"/>
      <c r="E28" s="127" t="s">
        <v>176</v>
      </c>
      <c r="F28" s="3"/>
      <c r="G28" s="4"/>
      <c r="H28" s="35"/>
      <c r="I28" s="165"/>
      <c r="J28" s="2"/>
      <c r="K28" s="35"/>
    </row>
    <row r="29" spans="1:11" ht="13.5" hidden="1" thickBot="1">
      <c r="A29" s="425"/>
      <c r="B29" s="126" t="s">
        <v>196</v>
      </c>
      <c r="C29" s="150" t="e">
        <f>C20/C27</f>
        <v>#DIV/0!</v>
      </c>
      <c r="G29" s="2"/>
      <c r="H29" s="2"/>
      <c r="I29" s="2"/>
      <c r="J29" s="2"/>
      <c r="K29" s="2"/>
    </row>
    <row r="30" spans="1:11" ht="13.5" thickBot="1">
      <c r="A30" s="466"/>
      <c r="B30" s="153"/>
      <c r="C30" s="154"/>
      <c r="D30" s="10"/>
      <c r="E30" s="10"/>
      <c r="G30" s="2"/>
      <c r="H30" s="2"/>
      <c r="I30" s="2"/>
      <c r="J30" s="2"/>
      <c r="K30" s="2"/>
    </row>
    <row r="31" spans="1:11" ht="12.75">
      <c r="A31" s="425">
        <v>14</v>
      </c>
      <c r="B31" s="96" t="s">
        <v>698</v>
      </c>
      <c r="C31" s="136" t="e">
        <f>C$10*C13/(C20*C15/C16/12*(C13+C17/2))</f>
        <v>#DIV/0!</v>
      </c>
      <c r="D31" s="15"/>
      <c r="E31" s="123" t="s">
        <v>363</v>
      </c>
      <c r="G31" s="2"/>
      <c r="H31" s="2"/>
      <c r="I31" s="2"/>
      <c r="J31" s="2"/>
      <c r="K31" s="2"/>
    </row>
    <row r="32" spans="1:11" ht="13.5" thickBot="1">
      <c r="A32" s="425">
        <v>15</v>
      </c>
      <c r="B32" s="126" t="s">
        <v>699</v>
      </c>
      <c r="C32" s="152" t="e">
        <f>C10/(C12*60*60)*7.48*60</f>
        <v>#DIV/0!</v>
      </c>
      <c r="D32" s="51"/>
      <c r="E32" s="127" t="s">
        <v>364</v>
      </c>
      <c r="G32" s="2"/>
      <c r="H32" s="2"/>
      <c r="I32" s="2"/>
      <c r="J32" s="2"/>
      <c r="K32" s="2"/>
    </row>
    <row r="33" spans="1:5" ht="12.75">
      <c r="A33" s="466"/>
      <c r="B33" s="35"/>
      <c r="C33" s="162"/>
      <c r="D33" s="2"/>
      <c r="E33" s="35"/>
    </row>
    <row r="34" spans="1:5" ht="13.5" thickBot="1">
      <c r="A34" s="1" t="s">
        <v>467</v>
      </c>
      <c r="B34" s="35"/>
      <c r="C34" s="162"/>
      <c r="D34" s="2"/>
      <c r="E34" s="35"/>
    </row>
    <row r="35" spans="1:5" ht="12.75">
      <c r="A35" s="425">
        <v>16</v>
      </c>
      <c r="B35" s="79" t="s">
        <v>684</v>
      </c>
      <c r="C35" s="587"/>
      <c r="D35" s="15"/>
      <c r="E35" s="123" t="s">
        <v>559</v>
      </c>
    </row>
    <row r="36" spans="1:5" ht="14.25">
      <c r="A36" s="425">
        <v>17</v>
      </c>
      <c r="B36" s="72" t="s">
        <v>686</v>
      </c>
      <c r="C36" s="607"/>
      <c r="D36" s="7"/>
      <c r="E36" s="73" t="s">
        <v>692</v>
      </c>
    </row>
    <row r="37" spans="1:5" ht="13.5" thickBot="1">
      <c r="A37" s="425">
        <v>18</v>
      </c>
      <c r="B37" s="141" t="s">
        <v>685</v>
      </c>
      <c r="C37" s="166" t="e">
        <f>C35/C36*7.48*60</f>
        <v>#DIV/0!</v>
      </c>
      <c r="D37" s="10"/>
      <c r="E37" s="124" t="s">
        <v>208</v>
      </c>
    </row>
    <row r="38" spans="2:5" ht="12.75">
      <c r="B38" s="35"/>
      <c r="C38" s="162"/>
      <c r="D38" s="2"/>
      <c r="E38" s="35"/>
    </row>
    <row r="39" ht="12.75">
      <c r="A39" s="1" t="s">
        <v>663</v>
      </c>
    </row>
    <row r="40" spans="1:8" ht="26.25" customHeight="1">
      <c r="A40" s="716" t="s">
        <v>103</v>
      </c>
      <c r="B40" s="716"/>
      <c r="C40" s="716"/>
      <c r="D40" s="716"/>
      <c r="E40" s="716"/>
      <c r="F40" s="716"/>
      <c r="G40" s="716"/>
      <c r="H40" s="706"/>
    </row>
    <row r="41" spans="1:8" ht="27" customHeight="1">
      <c r="A41" s="716" t="s">
        <v>50</v>
      </c>
      <c r="B41" s="706"/>
      <c r="C41" s="706"/>
      <c r="D41" s="706"/>
      <c r="E41" s="706"/>
      <c r="F41" s="706"/>
      <c r="G41" s="706"/>
      <c r="H41" s="706"/>
    </row>
    <row r="42" spans="1:7" ht="12.75">
      <c r="A42" s="382"/>
      <c r="B42" s="382"/>
      <c r="C42" s="382"/>
      <c r="D42" s="382"/>
      <c r="E42" s="382"/>
      <c r="F42" s="382"/>
      <c r="G42" s="382"/>
    </row>
    <row r="43" ht="12.75">
      <c r="A43" s="486" t="s">
        <v>584</v>
      </c>
    </row>
    <row r="44" ht="12.75">
      <c r="A44" s="1" t="s">
        <v>272</v>
      </c>
    </row>
    <row r="45" spans="1:8" ht="12.75">
      <c r="A45" s="483">
        <v>1</v>
      </c>
      <c r="B45" s="148" t="s">
        <v>834</v>
      </c>
      <c r="C45" s="149"/>
      <c r="D45" s="149"/>
      <c r="E45" s="149"/>
      <c r="F45" s="149"/>
      <c r="G45" s="149"/>
      <c r="H45" s="149"/>
    </row>
    <row r="46" spans="1:8" ht="12.75">
      <c r="A46" s="483">
        <v>2</v>
      </c>
      <c r="B46" s="148" t="s">
        <v>335</v>
      </c>
      <c r="C46" s="149"/>
      <c r="D46" s="149"/>
      <c r="E46" s="149"/>
      <c r="F46" s="149"/>
      <c r="G46" s="149"/>
      <c r="H46" s="149"/>
    </row>
    <row r="47" spans="1:8" ht="12.75">
      <c r="A47" s="483">
        <v>3</v>
      </c>
      <c r="B47" s="148" t="s">
        <v>1011</v>
      </c>
      <c r="C47" s="149"/>
      <c r="D47" s="149"/>
      <c r="E47" s="149"/>
      <c r="F47" s="149"/>
      <c r="G47" s="149"/>
      <c r="H47" s="149"/>
    </row>
    <row r="48" spans="1:8" ht="12.75">
      <c r="A48" s="483">
        <v>4</v>
      </c>
      <c r="B48" s="148" t="s">
        <v>188</v>
      </c>
      <c r="C48" s="149"/>
      <c r="D48" s="149"/>
      <c r="E48" s="149"/>
      <c r="F48" s="149"/>
      <c r="G48" s="149"/>
      <c r="H48" s="149"/>
    </row>
    <row r="49" spans="1:8" ht="27.75" customHeight="1">
      <c r="A49" s="483">
        <v>5</v>
      </c>
      <c r="B49" s="717" t="s">
        <v>37</v>
      </c>
      <c r="C49" s="717"/>
      <c r="D49" s="717"/>
      <c r="E49" s="717"/>
      <c r="F49" s="717"/>
      <c r="G49" s="717"/>
      <c r="H49" s="717"/>
    </row>
    <row r="50" spans="1:8" ht="12.75">
      <c r="A50" s="483">
        <v>6</v>
      </c>
      <c r="B50" s="148" t="s">
        <v>354</v>
      </c>
      <c r="C50" s="149"/>
      <c r="D50" s="149"/>
      <c r="E50" s="149"/>
      <c r="F50" s="149"/>
      <c r="G50" s="149"/>
      <c r="H50" s="149"/>
    </row>
    <row r="51" spans="1:8" ht="12.75">
      <c r="A51" s="483">
        <v>7</v>
      </c>
      <c r="B51" s="148" t="s">
        <v>241</v>
      </c>
      <c r="C51" s="149"/>
      <c r="D51" s="149"/>
      <c r="E51" s="149"/>
      <c r="F51" s="149"/>
      <c r="G51" s="149"/>
      <c r="H51" s="149"/>
    </row>
    <row r="52" spans="1:8" ht="12.75">
      <c r="A52" s="483">
        <v>8</v>
      </c>
      <c r="B52" s="148" t="s">
        <v>355</v>
      </c>
      <c r="C52" s="149"/>
      <c r="D52" s="149"/>
      <c r="E52" s="149"/>
      <c r="F52" s="149"/>
      <c r="G52" s="149"/>
      <c r="H52" s="149"/>
    </row>
    <row r="53" spans="1:8" ht="12.75">
      <c r="A53" s="483">
        <v>9</v>
      </c>
      <c r="B53" s="148" t="s">
        <v>356</v>
      </c>
      <c r="C53" s="149"/>
      <c r="D53" s="149"/>
      <c r="E53" s="149"/>
      <c r="F53" s="149"/>
      <c r="G53" s="149"/>
      <c r="H53" s="149"/>
    </row>
    <row r="54" spans="1:8" ht="12.75" customHeight="1">
      <c r="A54" s="483">
        <v>10</v>
      </c>
      <c r="B54" s="148" t="s">
        <v>680</v>
      </c>
      <c r="C54" s="149"/>
      <c r="D54" s="149"/>
      <c r="E54" s="149"/>
      <c r="F54" s="149"/>
      <c r="G54" s="149"/>
      <c r="H54" s="149"/>
    </row>
    <row r="55" spans="1:8" ht="12.75">
      <c r="A55" s="483">
        <v>11</v>
      </c>
      <c r="B55" s="148" t="s">
        <v>681</v>
      </c>
      <c r="C55" s="149"/>
      <c r="D55" s="149"/>
      <c r="E55" s="149"/>
      <c r="F55" s="149"/>
      <c r="G55" s="149"/>
      <c r="H55" s="149"/>
    </row>
    <row r="56" spans="1:8" ht="12.75">
      <c r="A56" s="483">
        <v>12</v>
      </c>
      <c r="B56" s="148" t="s">
        <v>304</v>
      </c>
      <c r="C56" s="149"/>
      <c r="D56" s="149"/>
      <c r="E56" s="149"/>
      <c r="F56" s="149"/>
      <c r="G56" s="149"/>
      <c r="H56" s="149"/>
    </row>
    <row r="57" spans="1:8" ht="12.75">
      <c r="A57" s="483">
        <v>13</v>
      </c>
      <c r="B57" s="148" t="s">
        <v>934</v>
      </c>
      <c r="C57" s="149"/>
      <c r="D57" s="149"/>
      <c r="E57" s="149"/>
      <c r="F57" s="149"/>
      <c r="G57" s="149"/>
      <c r="H57" s="149"/>
    </row>
    <row r="58" spans="1:8" ht="12.75">
      <c r="A58" s="483">
        <v>14</v>
      </c>
      <c r="B58" s="148" t="s">
        <v>688</v>
      </c>
      <c r="C58" s="149"/>
      <c r="D58" s="149"/>
      <c r="E58" s="149"/>
      <c r="F58" s="149"/>
      <c r="G58" s="149"/>
      <c r="H58" s="149"/>
    </row>
    <row r="59" spans="1:8" ht="15" customHeight="1">
      <c r="A59" s="483">
        <v>15</v>
      </c>
      <c r="B59" s="717" t="s">
        <v>700</v>
      </c>
      <c r="C59" s="717"/>
      <c r="D59" s="717"/>
      <c r="E59" s="717"/>
      <c r="F59" s="717"/>
      <c r="G59" s="717"/>
      <c r="H59" s="717"/>
    </row>
    <row r="60" ht="12.75">
      <c r="B60" s="32"/>
    </row>
    <row r="61" ht="12.75">
      <c r="A61" s="1" t="s">
        <v>271</v>
      </c>
    </row>
    <row r="62" spans="1:8" ht="12.75">
      <c r="A62" s="483">
        <v>16</v>
      </c>
      <c r="B62" s="174" t="s">
        <v>492</v>
      </c>
      <c r="C62" s="210"/>
      <c r="D62" s="210"/>
      <c r="E62" s="210"/>
      <c r="F62" s="210"/>
      <c r="G62" s="210"/>
      <c r="H62" s="210"/>
    </row>
    <row r="63" spans="1:8" ht="27" customHeight="1">
      <c r="A63" s="483">
        <v>17</v>
      </c>
      <c r="B63" s="717" t="s">
        <v>245</v>
      </c>
      <c r="C63" s="717"/>
      <c r="D63" s="717"/>
      <c r="E63" s="717"/>
      <c r="F63" s="717"/>
      <c r="G63" s="717"/>
      <c r="H63" s="717"/>
    </row>
    <row r="64" spans="1:8" ht="28.5" customHeight="1">
      <c r="A64" s="483">
        <v>18</v>
      </c>
      <c r="B64" s="717" t="s">
        <v>1007</v>
      </c>
      <c r="C64" s="717"/>
      <c r="D64" s="717"/>
      <c r="E64" s="717"/>
      <c r="F64" s="717"/>
      <c r="G64" s="717"/>
      <c r="H64" s="717"/>
    </row>
    <row r="65" spans="2:8" ht="13.5" customHeight="1">
      <c r="B65" s="413"/>
      <c r="C65" s="413"/>
      <c r="D65" s="413"/>
      <c r="E65" s="413"/>
      <c r="F65" s="413"/>
      <c r="G65" s="413"/>
      <c r="H65" s="413"/>
    </row>
    <row r="66" spans="1:5" ht="12.75">
      <c r="A66" s="419" t="s">
        <v>664</v>
      </c>
      <c r="B66" s="3"/>
      <c r="C66" s="3"/>
      <c r="D66" s="3"/>
      <c r="E66" s="3"/>
    </row>
    <row r="67" spans="2:8" ht="25.5" customHeight="1">
      <c r="B67" s="386" t="s">
        <v>48</v>
      </c>
      <c r="C67" s="730" t="s">
        <v>493</v>
      </c>
      <c r="D67" s="730"/>
      <c r="E67" s="730"/>
      <c r="F67" s="730"/>
      <c r="G67" s="730"/>
      <c r="H67" s="730"/>
    </row>
    <row r="68" spans="2:8" ht="25.5" customHeight="1">
      <c r="B68" s="386" t="s">
        <v>466</v>
      </c>
      <c r="C68" s="730" t="s">
        <v>300</v>
      </c>
      <c r="D68" s="730"/>
      <c r="E68" s="730"/>
      <c r="F68" s="730"/>
      <c r="G68" s="730"/>
      <c r="H68" s="730"/>
    </row>
    <row r="69" spans="2:9" ht="24.75" customHeight="1">
      <c r="B69" s="386" t="s">
        <v>429</v>
      </c>
      <c r="C69" s="731" t="s">
        <v>528</v>
      </c>
      <c r="D69" s="730"/>
      <c r="E69" s="730"/>
      <c r="F69" s="730"/>
      <c r="G69" s="730"/>
      <c r="H69" s="730"/>
      <c r="I69" s="379"/>
    </row>
    <row r="70" spans="2:8" ht="25.5" customHeight="1">
      <c r="B70" s="386" t="s">
        <v>233</v>
      </c>
      <c r="C70" s="737" t="s">
        <v>443</v>
      </c>
      <c r="D70" s="730"/>
      <c r="E70" s="730"/>
      <c r="F70" s="730"/>
      <c r="G70" s="730"/>
      <c r="H70" s="730"/>
    </row>
    <row r="71" spans="2:3" ht="12.75">
      <c r="B71" s="396" t="s">
        <v>234</v>
      </c>
      <c r="C71" s="32" t="s">
        <v>51</v>
      </c>
    </row>
    <row r="72" spans="2:3" ht="12.75">
      <c r="B72" s="396" t="s">
        <v>805</v>
      </c>
      <c r="C72" s="32" t="s">
        <v>774</v>
      </c>
    </row>
    <row r="73" spans="2:3" ht="12.75">
      <c r="B73" s="396" t="s">
        <v>357</v>
      </c>
      <c r="C73" s="32" t="s">
        <v>558</v>
      </c>
    </row>
    <row r="74" spans="2:3" ht="12.75">
      <c r="B74" s="396" t="s">
        <v>358</v>
      </c>
      <c r="C74" s="32" t="s">
        <v>294</v>
      </c>
    </row>
    <row r="75" spans="2:3" ht="12.75">
      <c r="B75" s="396" t="s">
        <v>113</v>
      </c>
      <c r="C75" s="32" t="s">
        <v>362</v>
      </c>
    </row>
  </sheetData>
  <sheetProtection selectLockedCells="1"/>
  <mergeCells count="10">
    <mergeCell ref="C70:H70"/>
    <mergeCell ref="A40:H40"/>
    <mergeCell ref="A41:H41"/>
    <mergeCell ref="C67:H67"/>
    <mergeCell ref="C68:H68"/>
    <mergeCell ref="C69:H69"/>
    <mergeCell ref="B64:H64"/>
    <mergeCell ref="B49:H49"/>
    <mergeCell ref="B59:H59"/>
    <mergeCell ref="B63:H63"/>
  </mergeCells>
  <dataValidations count="1">
    <dataValidation type="list" allowBlank="1" showInputMessage="1" showErrorMessage="1" sqref="C11">
      <formula1>"Yes, No"</formula1>
    </dataValidation>
  </dataValidations>
  <printOptions/>
  <pageMargins left="0.5" right="0.5" top="0.35" bottom="0.4" header="0.35" footer="0.4"/>
  <pageSetup fitToHeight="0" fitToWidth="1" horizontalDpi="600" verticalDpi="600" orientation="landscape" scale="77" r:id="rId3"/>
  <headerFooter alignWithMargins="0">
    <oddFooter>&amp;L&amp;8November 2011 Version</oddFooter>
  </headerFooter>
  <rowBreaks count="1" manualBreakCount="1">
    <brk id="38" max="7" man="1"/>
  </rowBreaks>
  <drawing r:id="rId2"/>
  <legacyDrawing r:id="rId1"/>
</worksheet>
</file>

<file path=xl/worksheets/sheet11.xml><?xml version="1.0" encoding="utf-8"?>
<worksheet xmlns="http://schemas.openxmlformats.org/spreadsheetml/2006/main" xmlns:r="http://schemas.openxmlformats.org/officeDocument/2006/relationships">
  <sheetPr codeName="Sheet28">
    <tabColor indexed="50"/>
    <pageSetUpPr fitToPage="1"/>
  </sheetPr>
  <dimension ref="A1:AA160"/>
  <sheetViews>
    <sheetView zoomScaleSheetLayoutView="50" zoomScalePageLayoutView="0" workbookViewId="0" topLeftCell="A1">
      <selection activeCell="C10" sqref="C10"/>
    </sheetView>
  </sheetViews>
  <sheetFormatPr defaultColWidth="8.8515625" defaultRowHeight="12.75"/>
  <cols>
    <col min="1" max="1" width="9.7109375" style="0" customWidth="1"/>
    <col min="2" max="2" width="42.140625" style="0" customWidth="1"/>
    <col min="3" max="3" width="9.140625" customWidth="1"/>
    <col min="4" max="4" width="102.140625" style="0" customWidth="1"/>
    <col min="5" max="5" width="9.140625" customWidth="1"/>
    <col min="6" max="6" width="7.7109375" style="36" customWidth="1"/>
    <col min="7" max="9" width="8.8515625" style="0" customWidth="1"/>
    <col min="10" max="12" width="9.140625" customWidth="1"/>
    <col min="13" max="13" width="32.7109375" style="0" customWidth="1"/>
    <col min="14" max="22" width="9.140625" customWidth="1"/>
    <col min="23" max="23" width="10.00390625" style="0" customWidth="1"/>
    <col min="24" max="16384" width="9.140625" customWidth="1"/>
  </cols>
  <sheetData>
    <row r="1" ht="15.75">
      <c r="A1" s="39" t="s">
        <v>578</v>
      </c>
    </row>
    <row r="2" spans="1:4" s="32" customFormat="1" ht="12.75">
      <c r="A2" s="32" t="s">
        <v>626</v>
      </c>
      <c r="C2"/>
      <c r="D2"/>
    </row>
    <row r="3" ht="12.75"/>
    <row r="4" spans="1:6" ht="12.75">
      <c r="A4" s="1"/>
      <c r="F4"/>
    </row>
    <row r="5" spans="1:6" ht="12.75">
      <c r="A5" s="1"/>
      <c r="F5"/>
    </row>
    <row r="6" ht="12.75">
      <c r="F6"/>
    </row>
    <row r="7" spans="1:6" ht="12.75">
      <c r="A7" s="32"/>
      <c r="F7"/>
    </row>
    <row r="8" spans="1:7" ht="12.75">
      <c r="A8" s="1" t="s">
        <v>666</v>
      </c>
      <c r="C8" s="44"/>
      <c r="E8" s="69"/>
      <c r="F8" s="49"/>
      <c r="G8" s="32"/>
    </row>
    <row r="9" spans="1:7" ht="13.5" thickBot="1">
      <c r="A9" s="1" t="s">
        <v>337</v>
      </c>
      <c r="B9" s="1"/>
      <c r="E9" s="69"/>
      <c r="F9" s="49"/>
      <c r="G9" s="32"/>
    </row>
    <row r="10" spans="1:14" ht="12.75">
      <c r="A10" s="425">
        <v>1</v>
      </c>
      <c r="B10" s="5" t="s">
        <v>519</v>
      </c>
      <c r="C10" s="584"/>
      <c r="D10" s="123" t="s">
        <v>213</v>
      </c>
      <c r="E10" s="69"/>
      <c r="F10" s="57"/>
      <c r="N10" s="32">
        <f>0.9*0.75/12*1*43560</f>
        <v>2450.25</v>
      </c>
    </row>
    <row r="11" spans="1:6" ht="12.75">
      <c r="A11" s="425">
        <v>2</v>
      </c>
      <c r="B11" s="72" t="s">
        <v>868</v>
      </c>
      <c r="C11" s="596"/>
      <c r="D11" s="73" t="s">
        <v>346</v>
      </c>
      <c r="F11" s="57"/>
    </row>
    <row r="12" spans="1:4" ht="12.75">
      <c r="A12" s="425">
        <v>3</v>
      </c>
      <c r="B12" s="72" t="s">
        <v>995</v>
      </c>
      <c r="C12" s="596"/>
      <c r="D12" s="73" t="s">
        <v>336</v>
      </c>
    </row>
    <row r="13" spans="1:4" ht="12.75">
      <c r="A13" s="425">
        <v>4</v>
      </c>
      <c r="B13" s="72" t="s">
        <v>870</v>
      </c>
      <c r="C13" s="666"/>
      <c r="D13" s="316" t="s">
        <v>920</v>
      </c>
    </row>
    <row r="14" spans="1:4" ht="12.75">
      <c r="A14" s="425">
        <v>5</v>
      </c>
      <c r="B14" s="72" t="s">
        <v>349</v>
      </c>
      <c r="C14" s="607"/>
      <c r="D14" s="74" t="s">
        <v>348</v>
      </c>
    </row>
    <row r="15" spans="1:12" ht="12.75">
      <c r="A15" s="425">
        <v>6</v>
      </c>
      <c r="B15" s="72" t="s">
        <v>993</v>
      </c>
      <c r="C15" s="147" t="e">
        <f>C14/C13</f>
        <v>#DIV/0!</v>
      </c>
      <c r="D15" s="74" t="s">
        <v>994</v>
      </c>
      <c r="F15" s="63"/>
      <c r="G15" s="2"/>
      <c r="H15" s="2"/>
      <c r="I15" s="2"/>
      <c r="J15" s="2"/>
      <c r="K15" s="2"/>
      <c r="L15" s="2"/>
    </row>
    <row r="16" spans="1:12" ht="12.75">
      <c r="A16" s="425"/>
      <c r="B16" s="84" t="s">
        <v>991</v>
      </c>
      <c r="C16" s="180">
        <f>(C14/2)*C11+C12*(C14/2)^2</f>
        <v>0</v>
      </c>
      <c r="D16" s="74" t="s">
        <v>208</v>
      </c>
      <c r="E16" s="32"/>
      <c r="F16" s="63"/>
      <c r="G16" s="2"/>
      <c r="H16" s="2"/>
      <c r="I16" s="2"/>
      <c r="J16" s="2"/>
      <c r="K16" s="2"/>
      <c r="L16" s="2"/>
    </row>
    <row r="17" spans="1:12" ht="12.75">
      <c r="A17" s="425">
        <v>7</v>
      </c>
      <c r="B17" s="72" t="s">
        <v>733</v>
      </c>
      <c r="C17" s="596"/>
      <c r="D17" s="73" t="s">
        <v>803</v>
      </c>
      <c r="E17" s="7"/>
      <c r="F17" s="4"/>
      <c r="G17" s="35"/>
      <c r="H17" s="2"/>
      <c r="I17" s="2"/>
      <c r="J17" s="35"/>
      <c r="K17" s="2"/>
      <c r="L17" s="2"/>
    </row>
    <row r="18" spans="1:12" ht="12.75">
      <c r="A18" s="425">
        <v>8</v>
      </c>
      <c r="B18" s="72" t="s">
        <v>734</v>
      </c>
      <c r="C18" s="602">
        <v>0.35</v>
      </c>
      <c r="D18" s="74" t="s">
        <v>291</v>
      </c>
      <c r="E18" s="2"/>
      <c r="F18" s="4"/>
      <c r="G18" s="35"/>
      <c r="H18" s="2"/>
      <c r="I18" s="2"/>
      <c r="J18" s="35"/>
      <c r="K18" s="2"/>
      <c r="L18" s="2"/>
    </row>
    <row r="19" spans="1:12" ht="12.75">
      <c r="A19" s="425"/>
      <c r="B19" s="72" t="s">
        <v>735</v>
      </c>
      <c r="C19" s="602">
        <v>5</v>
      </c>
      <c r="D19" s="74" t="s">
        <v>807</v>
      </c>
      <c r="E19" s="2"/>
      <c r="F19" s="4"/>
      <c r="G19" s="35"/>
      <c r="H19" s="2"/>
      <c r="I19" s="2"/>
      <c r="J19" s="35"/>
      <c r="K19" s="2"/>
      <c r="L19" s="2"/>
    </row>
    <row r="20" spans="1:12" ht="12.75" hidden="1">
      <c r="A20" s="425"/>
      <c r="B20" s="72" t="s">
        <v>549</v>
      </c>
      <c r="C20" s="602">
        <v>2</v>
      </c>
      <c r="D20" s="74" t="s">
        <v>444</v>
      </c>
      <c r="E20" s="2"/>
      <c r="F20" s="4"/>
      <c r="G20" s="35"/>
      <c r="H20" s="2"/>
      <c r="I20" s="2"/>
      <c r="J20" s="35"/>
      <c r="K20" s="2"/>
      <c r="L20" s="2"/>
    </row>
    <row r="21" spans="1:12" ht="13.5" thickBot="1">
      <c r="A21" s="425">
        <v>9</v>
      </c>
      <c r="B21" s="9" t="s">
        <v>293</v>
      </c>
      <c r="C21" s="606">
        <v>2</v>
      </c>
      <c r="D21" s="124" t="s">
        <v>268</v>
      </c>
      <c r="E21" s="2"/>
      <c r="F21" s="4"/>
      <c r="G21" s="35"/>
      <c r="H21" s="53"/>
      <c r="I21" s="2"/>
      <c r="J21" s="35"/>
      <c r="K21" s="2"/>
      <c r="L21" s="2"/>
    </row>
    <row r="22" spans="2:12" ht="13.5" thickBot="1">
      <c r="B22" s="7"/>
      <c r="C22" s="206"/>
      <c r="D22" s="65"/>
      <c r="E22" s="2"/>
      <c r="F22" s="4"/>
      <c r="G22" s="35"/>
      <c r="H22" s="53"/>
      <c r="I22" s="2"/>
      <c r="J22" s="35"/>
      <c r="K22" s="2"/>
      <c r="L22" s="2"/>
    </row>
    <row r="23" spans="2:12" ht="13.5" hidden="1" thickBot="1">
      <c r="B23" s="35" t="s">
        <v>550</v>
      </c>
      <c r="C23" s="177" t="e">
        <f>C21*C19/12*(C17+C14/4)/C17</f>
        <v>#DIV/0!</v>
      </c>
      <c r="D23" s="125" t="s">
        <v>381</v>
      </c>
      <c r="E23" s="7"/>
      <c r="F23" s="4"/>
      <c r="G23" s="2"/>
      <c r="H23" s="2"/>
      <c r="I23" s="2"/>
      <c r="J23" s="35"/>
      <c r="K23" s="2"/>
      <c r="L23" s="2"/>
    </row>
    <row r="24" spans="1:12" ht="12.75">
      <c r="A24" s="425">
        <v>10</v>
      </c>
      <c r="B24" s="183" t="s">
        <v>992</v>
      </c>
      <c r="C24" s="134" t="e">
        <f>C10/(C16+C23*C11)</f>
        <v>#DIV/0!</v>
      </c>
      <c r="D24" s="123" t="s">
        <v>563</v>
      </c>
      <c r="E24" s="7"/>
      <c r="F24" s="4"/>
      <c r="G24" s="2"/>
      <c r="H24" s="2"/>
      <c r="I24" s="2"/>
      <c r="J24" s="35"/>
      <c r="K24" s="2"/>
      <c r="L24" s="2"/>
    </row>
    <row r="25" spans="1:12" ht="12.75">
      <c r="A25" s="425">
        <v>11</v>
      </c>
      <c r="B25" s="72" t="s">
        <v>482</v>
      </c>
      <c r="C25" s="638"/>
      <c r="D25" s="73" t="s">
        <v>781</v>
      </c>
      <c r="E25" s="7"/>
      <c r="F25" s="4"/>
      <c r="G25" s="2"/>
      <c r="H25" s="2"/>
      <c r="I25" s="2"/>
      <c r="J25" s="35"/>
      <c r="K25" s="2"/>
      <c r="L25" s="2"/>
    </row>
    <row r="26" spans="1:12" ht="12.75">
      <c r="A26" s="425">
        <v>12</v>
      </c>
      <c r="B26" s="84" t="s">
        <v>481</v>
      </c>
      <c r="C26" s="194">
        <f>2*(C14+C25)*C12+C11</f>
        <v>0</v>
      </c>
      <c r="D26" s="73" t="s">
        <v>635</v>
      </c>
      <c r="E26" s="7"/>
      <c r="F26" s="4"/>
      <c r="G26" s="2"/>
      <c r="H26" s="2"/>
      <c r="I26" s="2"/>
      <c r="J26" s="35"/>
      <c r="K26" s="2"/>
      <c r="L26" s="2"/>
    </row>
    <row r="27" spans="1:12" ht="13.5" thickBot="1">
      <c r="A27" s="425">
        <v>13</v>
      </c>
      <c r="B27" s="146" t="s">
        <v>206</v>
      </c>
      <c r="C27" s="142" t="e">
        <f>C24*C26</f>
        <v>#DIV/0!</v>
      </c>
      <c r="D27" s="74" t="s">
        <v>208</v>
      </c>
      <c r="E27" s="7"/>
      <c r="F27" s="4"/>
      <c r="G27" s="2"/>
      <c r="H27" s="2"/>
      <c r="I27" s="2"/>
      <c r="J27" s="35"/>
      <c r="K27" s="2"/>
      <c r="L27" s="2"/>
    </row>
    <row r="28" spans="1:12" ht="13.5" hidden="1" thickBot="1">
      <c r="A28" s="425"/>
      <c r="B28" s="72" t="s">
        <v>808</v>
      </c>
      <c r="C28" s="133">
        <f>C10/0.9/(0.75/12)</f>
        <v>0</v>
      </c>
      <c r="D28" s="73" t="s">
        <v>208</v>
      </c>
      <c r="E28" s="7"/>
      <c r="F28" s="4"/>
      <c r="G28" s="2"/>
      <c r="H28" s="2"/>
      <c r="I28" s="2"/>
      <c r="J28" s="35"/>
      <c r="K28" s="2"/>
      <c r="L28" s="2"/>
    </row>
    <row r="29" spans="1:12" ht="13.5" hidden="1" thickBot="1">
      <c r="A29" s="425"/>
      <c r="B29" s="126" t="s">
        <v>269</v>
      </c>
      <c r="C29" s="135" t="e">
        <f>C27/C28</f>
        <v>#DIV/0!</v>
      </c>
      <c r="D29" s="127" t="s">
        <v>573</v>
      </c>
      <c r="E29" s="7"/>
      <c r="F29" s="4"/>
      <c r="G29" s="2"/>
      <c r="H29" s="2"/>
      <c r="I29" s="2"/>
      <c r="J29" s="35"/>
      <c r="K29" s="2"/>
      <c r="L29" s="2"/>
    </row>
    <row r="30" spans="1:12" ht="13.5" thickBot="1">
      <c r="A30" s="466"/>
      <c r="B30" s="161"/>
      <c r="C30" s="182"/>
      <c r="D30" s="161"/>
      <c r="E30" s="7"/>
      <c r="F30" s="4"/>
      <c r="G30" s="2"/>
      <c r="H30" s="2"/>
      <c r="I30" s="2"/>
      <c r="J30" s="35"/>
      <c r="K30" s="2"/>
      <c r="L30" s="2"/>
    </row>
    <row r="31" spans="1:12" ht="12.75">
      <c r="A31" s="425">
        <v>14</v>
      </c>
      <c r="B31" s="96" t="s">
        <v>270</v>
      </c>
      <c r="C31" s="639"/>
      <c r="D31" s="144" t="s">
        <v>572</v>
      </c>
      <c r="E31" s="7"/>
      <c r="F31" s="4"/>
      <c r="G31" s="2"/>
      <c r="H31" s="2"/>
      <c r="I31" s="2"/>
      <c r="J31" s="35"/>
      <c r="K31" s="2"/>
      <c r="L31" s="2"/>
    </row>
    <row r="32" spans="1:12" ht="12.75">
      <c r="A32" s="425">
        <v>15</v>
      </c>
      <c r="B32" s="72" t="s">
        <v>368</v>
      </c>
      <c r="C32" s="609"/>
      <c r="D32" s="73" t="s">
        <v>571</v>
      </c>
      <c r="E32" s="7"/>
      <c r="F32" s="4"/>
      <c r="G32" s="2"/>
      <c r="H32" s="2"/>
      <c r="I32" s="2"/>
      <c r="J32" s="35"/>
      <c r="K32" s="2"/>
      <c r="L32" s="2"/>
    </row>
    <row r="33" spans="1:12" ht="13.5" thickBot="1">
      <c r="A33" s="425">
        <v>16</v>
      </c>
      <c r="B33" s="151" t="s">
        <v>312</v>
      </c>
      <c r="C33" s="412" t="e">
        <f>IF(C32="Yes","N/A",C$10/(C$24*(C$11+C$12*C$14)*C$31/C$20/12))</f>
        <v>#DIV/0!</v>
      </c>
      <c r="D33" s="124" t="s">
        <v>374</v>
      </c>
      <c r="E33" s="7"/>
      <c r="F33" s="4"/>
      <c r="G33" s="2"/>
      <c r="H33" s="2"/>
      <c r="I33" s="2"/>
      <c r="J33" s="35"/>
      <c r="K33" s="2"/>
      <c r="L33" s="2"/>
    </row>
    <row r="34" spans="2:12" ht="12.75" hidden="1">
      <c r="B34" s="184" t="s">
        <v>503</v>
      </c>
      <c r="C34" s="185" t="e">
        <f>C$10*C$17/(C$11*C$24*C$19/12*(C$17+C$14/4))</f>
        <v>#DIV/0!</v>
      </c>
      <c r="D34" s="73" t="s">
        <v>504</v>
      </c>
      <c r="E34" s="7"/>
      <c r="F34" s="4"/>
      <c r="G34" s="2"/>
      <c r="H34" s="2"/>
      <c r="I34" s="2"/>
      <c r="J34" s="35"/>
      <c r="K34" s="2"/>
      <c r="L34" s="2"/>
    </row>
    <row r="35" spans="2:12" ht="12.75" hidden="1">
      <c r="B35" s="84" t="s">
        <v>361</v>
      </c>
      <c r="C35" s="78">
        <v>24</v>
      </c>
      <c r="D35" s="74" t="s">
        <v>366</v>
      </c>
      <c r="E35" s="7"/>
      <c r="F35" s="4"/>
      <c r="G35" s="2"/>
      <c r="H35" s="2"/>
      <c r="I35" s="2"/>
      <c r="J35" s="35"/>
      <c r="K35" s="2"/>
      <c r="L35" s="2"/>
    </row>
    <row r="36" spans="2:12" ht="13.5" hidden="1" thickBot="1">
      <c r="B36" s="333" t="s">
        <v>246</v>
      </c>
      <c r="C36" s="408" t="e">
        <f>IF(AND(C32="No",C33&lt;=48),"N/A",(C10/(C35*60*60))*7.48*60)</f>
        <v>#DIV/0!</v>
      </c>
      <c r="D36" s="127" t="s">
        <v>416</v>
      </c>
      <c r="E36" s="7"/>
      <c r="F36" s="4"/>
      <c r="G36" s="2"/>
      <c r="H36" s="2"/>
      <c r="I36" s="2"/>
      <c r="J36" s="35"/>
      <c r="K36" s="2"/>
      <c r="L36" s="2"/>
    </row>
    <row r="37" spans="2:12" ht="14.25" hidden="1">
      <c r="B37" s="35" t="s">
        <v>771</v>
      </c>
      <c r="C37" s="197">
        <f>C10/(0.75/12)/0.9</f>
        <v>0</v>
      </c>
      <c r="D37" s="35" t="s">
        <v>375</v>
      </c>
      <c r="E37" s="7"/>
      <c r="F37" s="4"/>
      <c r="G37" s="2"/>
      <c r="H37" s="2"/>
      <c r="I37" s="2"/>
      <c r="J37" s="35"/>
      <c r="K37" s="2"/>
      <c r="L37" s="2"/>
    </row>
    <row r="38" spans="2:4" ht="12.75" hidden="1">
      <c r="B38" s="35" t="s">
        <v>772</v>
      </c>
      <c r="C38" s="198" t="e">
        <f>C27/C37</f>
        <v>#DIV/0!</v>
      </c>
      <c r="D38" s="34"/>
    </row>
    <row r="39" ht="12.75">
      <c r="B39" s="207"/>
    </row>
    <row r="40" ht="12.75">
      <c r="A40" s="1" t="s">
        <v>663</v>
      </c>
    </row>
    <row r="41" ht="12.75">
      <c r="A41" s="44" t="s">
        <v>738</v>
      </c>
    </row>
    <row r="43" ht="12.75">
      <c r="A43" s="55" t="s">
        <v>584</v>
      </c>
    </row>
    <row r="44" spans="1:6" ht="12.75">
      <c r="A44" s="483">
        <v>1</v>
      </c>
      <c r="B44" s="148" t="s">
        <v>834</v>
      </c>
      <c r="C44" s="149"/>
      <c r="D44" s="149"/>
      <c r="E44" s="149"/>
      <c r="F44" s="209"/>
    </row>
    <row r="45" spans="1:6" ht="12.75">
      <c r="A45" s="483">
        <v>2</v>
      </c>
      <c r="B45" s="148" t="s">
        <v>347</v>
      </c>
      <c r="C45" s="149"/>
      <c r="D45" s="149"/>
      <c r="E45" s="149"/>
      <c r="F45" s="209"/>
    </row>
    <row r="46" spans="1:6" ht="12.75">
      <c r="A46" s="483">
        <v>3</v>
      </c>
      <c r="B46" s="729" t="s">
        <v>128</v>
      </c>
      <c r="C46" s="718"/>
      <c r="D46" s="718"/>
      <c r="E46" s="149"/>
      <c r="F46" s="209"/>
    </row>
    <row r="47" spans="1:6" ht="25.5" customHeight="1">
      <c r="A47" s="483">
        <v>4</v>
      </c>
      <c r="B47" s="717" t="s">
        <v>990</v>
      </c>
      <c r="C47" s="717"/>
      <c r="D47" s="717"/>
      <c r="E47" s="413"/>
      <c r="F47" s="413"/>
    </row>
    <row r="48" spans="1:6" ht="12.75">
      <c r="A48" s="483">
        <v>5</v>
      </c>
      <c r="B48" s="148" t="s">
        <v>784</v>
      </c>
      <c r="C48" s="149"/>
      <c r="D48" s="149"/>
      <c r="E48" s="149"/>
      <c r="F48" s="209"/>
    </row>
    <row r="49" spans="1:6" ht="12.75">
      <c r="A49" s="483">
        <v>6</v>
      </c>
      <c r="B49" s="148" t="s">
        <v>785</v>
      </c>
      <c r="C49" s="149"/>
      <c r="D49" s="149"/>
      <c r="E49" s="149"/>
      <c r="F49" s="209"/>
    </row>
    <row r="50" spans="1:6" ht="12.75">
      <c r="A50" s="483">
        <v>7</v>
      </c>
      <c r="B50" s="148" t="s">
        <v>736</v>
      </c>
      <c r="C50" s="149"/>
      <c r="D50" s="149"/>
      <c r="E50" s="149"/>
      <c r="F50" s="209"/>
    </row>
    <row r="51" spans="1:6" ht="27.75" customHeight="1">
      <c r="A51" s="483">
        <v>8</v>
      </c>
      <c r="B51" s="717" t="s">
        <v>737</v>
      </c>
      <c r="C51" s="717"/>
      <c r="D51" s="717"/>
      <c r="E51" s="413"/>
      <c r="F51" s="413"/>
    </row>
    <row r="52" spans="1:7" ht="12.75">
      <c r="A52" s="483">
        <v>9</v>
      </c>
      <c r="B52" s="148" t="s">
        <v>462</v>
      </c>
      <c r="C52" s="211"/>
      <c r="D52" s="211"/>
      <c r="E52" s="211"/>
      <c r="F52" s="212"/>
      <c r="G52" s="64"/>
    </row>
    <row r="53" spans="1:6" ht="12.75">
      <c r="A53" s="483">
        <v>10</v>
      </c>
      <c r="B53" s="148" t="s">
        <v>480</v>
      </c>
      <c r="C53" s="149"/>
      <c r="D53" s="149"/>
      <c r="E53" s="149"/>
      <c r="F53" s="209"/>
    </row>
    <row r="54" spans="1:6" ht="12.75">
      <c r="A54" s="483">
        <v>11</v>
      </c>
      <c r="B54" s="148" t="s">
        <v>566</v>
      </c>
      <c r="C54" s="149"/>
      <c r="D54" s="149"/>
      <c r="E54" s="149"/>
      <c r="F54" s="209"/>
    </row>
    <row r="55" spans="1:6" ht="12.75">
      <c r="A55" s="483">
        <v>12</v>
      </c>
      <c r="B55" s="148" t="s">
        <v>567</v>
      </c>
      <c r="C55" s="149"/>
      <c r="D55" s="149"/>
      <c r="E55" s="149"/>
      <c r="F55" s="149"/>
    </row>
    <row r="56" spans="1:6" ht="12.75">
      <c r="A56" s="483">
        <v>13</v>
      </c>
      <c r="B56" s="148" t="s">
        <v>568</v>
      </c>
      <c r="C56" s="149"/>
      <c r="D56" s="149"/>
      <c r="E56" s="149"/>
      <c r="F56" s="209"/>
    </row>
    <row r="57" spans="1:6" ht="12.75">
      <c r="A57" s="483">
        <v>14</v>
      </c>
      <c r="B57" s="729" t="s">
        <v>258</v>
      </c>
      <c r="C57" s="718"/>
      <c r="D57" s="718"/>
      <c r="E57" s="149"/>
      <c r="F57" s="209"/>
    </row>
    <row r="58" spans="1:6" ht="26.25" customHeight="1">
      <c r="A58" s="483">
        <v>15</v>
      </c>
      <c r="B58" s="717" t="s">
        <v>674</v>
      </c>
      <c r="C58" s="717"/>
      <c r="D58" s="717"/>
      <c r="E58" s="413"/>
      <c r="F58" s="413"/>
    </row>
    <row r="59" spans="1:6" ht="12.75">
      <c r="A59" s="483">
        <v>16</v>
      </c>
      <c r="B59" s="148" t="s">
        <v>502</v>
      </c>
      <c r="C59" s="149"/>
      <c r="D59" s="149"/>
      <c r="E59" s="149"/>
      <c r="F59" s="209"/>
    </row>
    <row r="60" spans="2:6" ht="12.75">
      <c r="B60" s="148"/>
      <c r="C60" s="149"/>
      <c r="D60" s="149"/>
      <c r="E60" s="149"/>
      <c r="F60" s="209"/>
    </row>
    <row r="61" spans="1:6" ht="12.75">
      <c r="A61" s="419" t="s">
        <v>664</v>
      </c>
      <c r="B61" s="35"/>
      <c r="F61"/>
    </row>
    <row r="62" spans="2:6" ht="26.25" customHeight="1">
      <c r="B62" s="386" t="s">
        <v>48</v>
      </c>
      <c r="C62" s="718" t="s">
        <v>493</v>
      </c>
      <c r="D62" s="718"/>
      <c r="E62" s="149"/>
      <c r="F62"/>
    </row>
    <row r="63" spans="2:6" ht="26.25" customHeight="1">
      <c r="B63" s="386" t="s">
        <v>429</v>
      </c>
      <c r="C63" s="736" t="s">
        <v>528</v>
      </c>
      <c r="D63" s="718"/>
      <c r="E63" s="66"/>
      <c r="F63"/>
    </row>
    <row r="64" spans="2:6" ht="12.75">
      <c r="B64" s="386" t="s">
        <v>868</v>
      </c>
      <c r="C64" s="148" t="s">
        <v>871</v>
      </c>
      <c r="D64" s="149"/>
      <c r="E64" s="149"/>
      <c r="F64"/>
    </row>
    <row r="65" spans="2:6" ht="12.75">
      <c r="B65" s="386" t="s">
        <v>869</v>
      </c>
      <c r="C65" s="148" t="s">
        <v>214</v>
      </c>
      <c r="D65" s="149"/>
      <c r="E65" s="149"/>
      <c r="F65"/>
    </row>
    <row r="66" spans="2:6" ht="12.75">
      <c r="B66" s="396" t="s">
        <v>870</v>
      </c>
      <c r="C66" s="148" t="s">
        <v>36</v>
      </c>
      <c r="D66" s="149"/>
      <c r="E66" s="149"/>
      <c r="F66"/>
    </row>
    <row r="67" spans="2:6" ht="12.75">
      <c r="B67" s="396" t="s">
        <v>805</v>
      </c>
      <c r="C67" s="148" t="s">
        <v>457</v>
      </c>
      <c r="D67" s="149"/>
      <c r="E67" s="149"/>
      <c r="F67"/>
    </row>
    <row r="68" spans="2:6" ht="12.75">
      <c r="B68" s="396" t="s">
        <v>357</v>
      </c>
      <c r="C68" s="148" t="s">
        <v>44</v>
      </c>
      <c r="D68" s="149"/>
      <c r="E68" s="149"/>
      <c r="F68"/>
    </row>
    <row r="69" spans="2:6" ht="12.75">
      <c r="B69" s="396" t="s">
        <v>358</v>
      </c>
      <c r="C69" s="148" t="s">
        <v>294</v>
      </c>
      <c r="D69" s="149"/>
      <c r="E69" s="149"/>
      <c r="F69"/>
    </row>
    <row r="70" spans="2:6" ht="24.75" customHeight="1">
      <c r="B70" s="386" t="s">
        <v>233</v>
      </c>
      <c r="C70" s="729" t="s">
        <v>443</v>
      </c>
      <c r="D70" s="718"/>
      <c r="E70" s="149"/>
      <c r="F70"/>
    </row>
    <row r="71" spans="2:6" ht="12.75">
      <c r="B71" s="386" t="s">
        <v>234</v>
      </c>
      <c r="C71" s="148" t="s">
        <v>783</v>
      </c>
      <c r="D71" s="149"/>
      <c r="E71" s="149"/>
      <c r="F71"/>
    </row>
    <row r="72" spans="2:6" ht="12.75">
      <c r="B72" s="386" t="s">
        <v>350</v>
      </c>
      <c r="C72" s="148" t="s">
        <v>456</v>
      </c>
      <c r="D72" s="149"/>
      <c r="E72" s="149"/>
      <c r="F72"/>
    </row>
    <row r="73" spans="2:6" ht="12.75">
      <c r="B73" s="386" t="s">
        <v>206</v>
      </c>
      <c r="C73" s="148" t="s">
        <v>244</v>
      </c>
      <c r="D73" s="149"/>
      <c r="E73" s="149"/>
      <c r="F73"/>
    </row>
    <row r="74" spans="2:5" ht="12.75">
      <c r="B74" s="386" t="s">
        <v>207</v>
      </c>
      <c r="C74" s="148" t="s">
        <v>455</v>
      </c>
      <c r="D74" s="149"/>
      <c r="E74" s="149"/>
    </row>
    <row r="75" spans="2:5" ht="12.75">
      <c r="B75" s="386" t="s">
        <v>113</v>
      </c>
      <c r="C75" s="148" t="s">
        <v>362</v>
      </c>
      <c r="D75" s="149"/>
      <c r="E75" s="149"/>
    </row>
    <row r="76" spans="2:23" ht="15.75">
      <c r="B76" s="32"/>
      <c r="W76" s="54" t="s">
        <v>648</v>
      </c>
    </row>
    <row r="77" spans="19:27" ht="12.75">
      <c r="S77" s="32"/>
      <c r="W77" s="55" t="s">
        <v>649</v>
      </c>
      <c r="Z77" s="7"/>
      <c r="AA77" s="32"/>
    </row>
    <row r="79" spans="22:25" ht="13.5" thickBot="1">
      <c r="V79" s="55" t="s">
        <v>650</v>
      </c>
      <c r="W79" s="55" t="s">
        <v>651</v>
      </c>
      <c r="X79" s="55" t="s">
        <v>141</v>
      </c>
      <c r="Y79" s="55" t="s">
        <v>652</v>
      </c>
    </row>
    <row r="80" spans="16:25" ht="13.5" thickBot="1">
      <c r="P80" s="57"/>
      <c r="Q80" s="57"/>
      <c r="V80" s="56">
        <f>C11</f>
        <v>0</v>
      </c>
      <c r="W80" s="56">
        <f>C12</f>
        <v>0</v>
      </c>
      <c r="X80" s="56">
        <f>C16</f>
        <v>0</v>
      </c>
      <c r="Y80" s="56">
        <f>C13/100</f>
        <v>0</v>
      </c>
    </row>
    <row r="81" spans="16:17" ht="12.75">
      <c r="P81" s="36"/>
      <c r="Q81" s="36"/>
    </row>
    <row r="82" spans="16:26" ht="12.75">
      <c r="P82" s="36"/>
      <c r="Q82" s="36"/>
      <c r="U82" s="55" t="s">
        <v>653</v>
      </c>
      <c r="V82" s="55" t="s">
        <v>654</v>
      </c>
      <c r="W82" s="55" t="s">
        <v>247</v>
      </c>
      <c r="X82" s="55" t="s">
        <v>216</v>
      </c>
      <c r="Y82" s="55" t="s">
        <v>655</v>
      </c>
      <c r="Z82" s="55" t="s">
        <v>656</v>
      </c>
    </row>
    <row r="83" spans="16:26" ht="12.75">
      <c r="P83" s="36"/>
      <c r="Q83" s="36"/>
      <c r="U83" s="36" t="s">
        <v>657</v>
      </c>
      <c r="V83" s="36" t="s">
        <v>658</v>
      </c>
      <c r="W83" s="57" t="s">
        <v>659</v>
      </c>
      <c r="X83" s="36" t="s">
        <v>660</v>
      </c>
      <c r="Y83" s="36" t="s">
        <v>658</v>
      </c>
      <c r="Z83" s="36" t="s">
        <v>658</v>
      </c>
    </row>
    <row r="84" spans="16:17" ht="12.75">
      <c r="P84" s="36"/>
      <c r="Q84" s="36"/>
    </row>
    <row r="85" spans="16:26" ht="12.75">
      <c r="P85" s="36"/>
      <c r="Q85" s="36"/>
      <c r="U85" s="58" t="e">
        <f aca="true" t="shared" si="0" ref="U85:U148">(1.49/X$80)*X85*(Z85^0.667)*(Y$80^0.5)</f>
        <v>#DIV/0!</v>
      </c>
      <c r="V85" s="59">
        <v>0.01</v>
      </c>
      <c r="W85" s="60" t="e">
        <f aca="true" t="shared" si="1" ref="W85:W148">U85/X85</f>
        <v>#DIV/0!</v>
      </c>
      <c r="X85" s="61">
        <f aca="true" t="shared" si="2" ref="X85:X148">V$80*(V85)+(W$80*(V85)^2)</f>
        <v>0</v>
      </c>
      <c r="Y85" s="59">
        <f aca="true" t="shared" si="3" ref="Y85:Y148">V$80+2*(V85)*(1+(W$80^2))^0.5</f>
        <v>0.02</v>
      </c>
      <c r="Z85" s="62">
        <f aca="true" t="shared" si="4" ref="Z85:Z148">X85/Y85</f>
        <v>0</v>
      </c>
    </row>
    <row r="86" spans="16:26" ht="12.75">
      <c r="P86" s="36"/>
      <c r="Q86" s="36"/>
      <c r="U86" s="58" t="e">
        <f t="shared" si="0"/>
        <v>#DIV/0!</v>
      </c>
      <c r="V86" s="59">
        <f>V85+0.01</f>
        <v>0.02</v>
      </c>
      <c r="W86" s="60" t="e">
        <f t="shared" si="1"/>
        <v>#DIV/0!</v>
      </c>
      <c r="X86" s="61">
        <f t="shared" si="2"/>
        <v>0</v>
      </c>
      <c r="Y86" s="59">
        <f t="shared" si="3"/>
        <v>0.04</v>
      </c>
      <c r="Z86" s="62">
        <f t="shared" si="4"/>
        <v>0</v>
      </c>
    </row>
    <row r="87" spans="16:26" ht="12.75">
      <c r="P87" s="36"/>
      <c r="Q87" s="36"/>
      <c r="U87" s="58" t="e">
        <f t="shared" si="0"/>
        <v>#DIV/0!</v>
      </c>
      <c r="V87" s="59">
        <f aca="true" t="shared" si="5" ref="V87:V150">V86+0.01</f>
        <v>0.03</v>
      </c>
      <c r="W87" s="60" t="e">
        <f t="shared" si="1"/>
        <v>#DIV/0!</v>
      </c>
      <c r="X87" s="61">
        <f t="shared" si="2"/>
        <v>0</v>
      </c>
      <c r="Y87" s="59">
        <f t="shared" si="3"/>
        <v>0.06</v>
      </c>
      <c r="Z87" s="62">
        <f t="shared" si="4"/>
        <v>0</v>
      </c>
    </row>
    <row r="88" spans="16:26" ht="12.75">
      <c r="P88" s="36"/>
      <c r="Q88" s="36"/>
      <c r="U88" s="58" t="e">
        <f t="shared" si="0"/>
        <v>#DIV/0!</v>
      </c>
      <c r="V88" s="59">
        <f t="shared" si="5"/>
        <v>0.04</v>
      </c>
      <c r="W88" s="60" t="e">
        <f t="shared" si="1"/>
        <v>#DIV/0!</v>
      </c>
      <c r="X88" s="61">
        <f t="shared" si="2"/>
        <v>0</v>
      </c>
      <c r="Y88" s="59">
        <f t="shared" si="3"/>
        <v>0.08</v>
      </c>
      <c r="Z88" s="62">
        <f t="shared" si="4"/>
        <v>0</v>
      </c>
    </row>
    <row r="89" spans="16:26" ht="12.75">
      <c r="P89" s="36"/>
      <c r="Q89" s="36"/>
      <c r="U89" s="58" t="e">
        <f t="shared" si="0"/>
        <v>#DIV/0!</v>
      </c>
      <c r="V89" s="59">
        <f>V88+0.01</f>
        <v>0.05</v>
      </c>
      <c r="W89" s="60" t="e">
        <f t="shared" si="1"/>
        <v>#DIV/0!</v>
      </c>
      <c r="X89" s="61">
        <f t="shared" si="2"/>
        <v>0</v>
      </c>
      <c r="Y89" s="59">
        <f t="shared" si="3"/>
        <v>0.1</v>
      </c>
      <c r="Z89" s="62">
        <f t="shared" si="4"/>
        <v>0</v>
      </c>
    </row>
    <row r="90" spans="16:26" ht="12.75">
      <c r="P90" s="36"/>
      <c r="Q90" s="36"/>
      <c r="U90" s="58" t="e">
        <f t="shared" si="0"/>
        <v>#DIV/0!</v>
      </c>
      <c r="V90" s="59">
        <f t="shared" si="5"/>
        <v>0.060000000000000005</v>
      </c>
      <c r="W90" s="60" t="e">
        <f t="shared" si="1"/>
        <v>#DIV/0!</v>
      </c>
      <c r="X90" s="61">
        <f t="shared" si="2"/>
        <v>0</v>
      </c>
      <c r="Y90" s="59">
        <f t="shared" si="3"/>
        <v>0.12000000000000001</v>
      </c>
      <c r="Z90" s="62">
        <f t="shared" si="4"/>
        <v>0</v>
      </c>
    </row>
    <row r="91" spans="21:26" ht="12.75">
      <c r="U91" s="58" t="e">
        <f t="shared" si="0"/>
        <v>#DIV/0!</v>
      </c>
      <c r="V91" s="59">
        <f t="shared" si="5"/>
        <v>0.07</v>
      </c>
      <c r="W91" s="60" t="e">
        <f t="shared" si="1"/>
        <v>#DIV/0!</v>
      </c>
      <c r="X91" s="61">
        <f t="shared" si="2"/>
        <v>0</v>
      </c>
      <c r="Y91" s="59">
        <f t="shared" si="3"/>
        <v>0.14</v>
      </c>
      <c r="Z91" s="62">
        <f t="shared" si="4"/>
        <v>0</v>
      </c>
    </row>
    <row r="92" spans="21:26" ht="12.75">
      <c r="U92" s="58" t="e">
        <f t="shared" si="0"/>
        <v>#DIV/0!</v>
      </c>
      <c r="V92" s="59">
        <f t="shared" si="5"/>
        <v>0.08</v>
      </c>
      <c r="W92" s="60" t="e">
        <f t="shared" si="1"/>
        <v>#DIV/0!</v>
      </c>
      <c r="X92" s="61">
        <f t="shared" si="2"/>
        <v>0</v>
      </c>
      <c r="Y92" s="59">
        <f t="shared" si="3"/>
        <v>0.16</v>
      </c>
      <c r="Z92" s="62">
        <f t="shared" si="4"/>
        <v>0</v>
      </c>
    </row>
    <row r="93" spans="21:26" ht="12.75">
      <c r="U93" s="58" t="e">
        <f t="shared" si="0"/>
        <v>#DIV/0!</v>
      </c>
      <c r="V93" s="59">
        <f t="shared" si="5"/>
        <v>0.09</v>
      </c>
      <c r="W93" s="60" t="e">
        <f t="shared" si="1"/>
        <v>#DIV/0!</v>
      </c>
      <c r="X93" s="61">
        <f t="shared" si="2"/>
        <v>0</v>
      </c>
      <c r="Y93" s="59">
        <f t="shared" si="3"/>
        <v>0.18</v>
      </c>
      <c r="Z93" s="62">
        <f t="shared" si="4"/>
        <v>0</v>
      </c>
    </row>
    <row r="94" spans="21:26" ht="12.75">
      <c r="U94" s="58" t="e">
        <f t="shared" si="0"/>
        <v>#DIV/0!</v>
      </c>
      <c r="V94" s="59">
        <f t="shared" si="5"/>
        <v>0.09999999999999999</v>
      </c>
      <c r="W94" s="60" t="e">
        <f t="shared" si="1"/>
        <v>#DIV/0!</v>
      </c>
      <c r="X94" s="61">
        <f t="shared" si="2"/>
        <v>0</v>
      </c>
      <c r="Y94" s="59">
        <f t="shared" si="3"/>
        <v>0.19999999999999998</v>
      </c>
      <c r="Z94" s="62">
        <f t="shared" si="4"/>
        <v>0</v>
      </c>
    </row>
    <row r="95" spans="21:26" ht="12.75">
      <c r="U95" s="58" t="e">
        <f t="shared" si="0"/>
        <v>#DIV/0!</v>
      </c>
      <c r="V95" s="59">
        <f t="shared" si="5"/>
        <v>0.10999999999999999</v>
      </c>
      <c r="W95" s="60" t="e">
        <f t="shared" si="1"/>
        <v>#DIV/0!</v>
      </c>
      <c r="X95" s="61">
        <f t="shared" si="2"/>
        <v>0</v>
      </c>
      <c r="Y95" s="59">
        <f t="shared" si="3"/>
        <v>0.21999999999999997</v>
      </c>
      <c r="Z95" s="62">
        <f t="shared" si="4"/>
        <v>0</v>
      </c>
    </row>
    <row r="96" spans="21:26" ht="12.75">
      <c r="U96" s="58" t="e">
        <f t="shared" si="0"/>
        <v>#DIV/0!</v>
      </c>
      <c r="V96" s="59">
        <f t="shared" si="5"/>
        <v>0.11999999999999998</v>
      </c>
      <c r="W96" s="60" t="e">
        <f t="shared" si="1"/>
        <v>#DIV/0!</v>
      </c>
      <c r="X96" s="61">
        <f t="shared" si="2"/>
        <v>0</v>
      </c>
      <c r="Y96" s="59">
        <f t="shared" si="3"/>
        <v>0.23999999999999996</v>
      </c>
      <c r="Z96" s="62">
        <f t="shared" si="4"/>
        <v>0</v>
      </c>
    </row>
    <row r="97" spans="21:26" ht="12.75">
      <c r="U97" s="58" t="e">
        <f t="shared" si="0"/>
        <v>#DIV/0!</v>
      </c>
      <c r="V97" s="59">
        <f t="shared" si="5"/>
        <v>0.12999999999999998</v>
      </c>
      <c r="W97" s="60" t="e">
        <f t="shared" si="1"/>
        <v>#DIV/0!</v>
      </c>
      <c r="X97" s="61">
        <f t="shared" si="2"/>
        <v>0</v>
      </c>
      <c r="Y97" s="59">
        <f t="shared" si="3"/>
        <v>0.25999999999999995</v>
      </c>
      <c r="Z97" s="62">
        <f t="shared" si="4"/>
        <v>0</v>
      </c>
    </row>
    <row r="98" spans="21:26" ht="12.75">
      <c r="U98" s="58" t="e">
        <f t="shared" si="0"/>
        <v>#DIV/0!</v>
      </c>
      <c r="V98" s="59">
        <f t="shared" si="5"/>
        <v>0.13999999999999999</v>
      </c>
      <c r="W98" s="60" t="e">
        <f t="shared" si="1"/>
        <v>#DIV/0!</v>
      </c>
      <c r="X98" s="61">
        <f t="shared" si="2"/>
        <v>0</v>
      </c>
      <c r="Y98" s="59">
        <f t="shared" si="3"/>
        <v>0.27999999999999997</v>
      </c>
      <c r="Z98" s="62">
        <f t="shared" si="4"/>
        <v>0</v>
      </c>
    </row>
    <row r="99" spans="21:26" ht="12.75">
      <c r="U99" s="58" t="e">
        <f t="shared" si="0"/>
        <v>#DIV/0!</v>
      </c>
      <c r="V99" s="59">
        <f t="shared" si="5"/>
        <v>0.15</v>
      </c>
      <c r="W99" s="60" t="e">
        <f t="shared" si="1"/>
        <v>#DIV/0!</v>
      </c>
      <c r="X99" s="61">
        <f t="shared" si="2"/>
        <v>0</v>
      </c>
      <c r="Y99" s="59">
        <f t="shared" si="3"/>
        <v>0.3</v>
      </c>
      <c r="Z99" s="62">
        <f t="shared" si="4"/>
        <v>0</v>
      </c>
    </row>
    <row r="100" spans="21:26" ht="12.75">
      <c r="U100" s="58" t="e">
        <f t="shared" si="0"/>
        <v>#DIV/0!</v>
      </c>
      <c r="V100" s="59">
        <f t="shared" si="5"/>
        <v>0.16</v>
      </c>
      <c r="W100" s="60" t="e">
        <f t="shared" si="1"/>
        <v>#DIV/0!</v>
      </c>
      <c r="X100" s="61">
        <f t="shared" si="2"/>
        <v>0</v>
      </c>
      <c r="Y100" s="59">
        <f t="shared" si="3"/>
        <v>0.32</v>
      </c>
      <c r="Z100" s="62">
        <f t="shared" si="4"/>
        <v>0</v>
      </c>
    </row>
    <row r="101" spans="21:26" ht="12.75">
      <c r="U101" s="58" t="e">
        <f t="shared" si="0"/>
        <v>#DIV/0!</v>
      </c>
      <c r="V101" s="59">
        <f t="shared" si="5"/>
        <v>0.17</v>
      </c>
      <c r="W101" s="60" t="e">
        <f t="shared" si="1"/>
        <v>#DIV/0!</v>
      </c>
      <c r="X101" s="61">
        <f t="shared" si="2"/>
        <v>0</v>
      </c>
      <c r="Y101" s="59">
        <f t="shared" si="3"/>
        <v>0.34</v>
      </c>
      <c r="Z101" s="62">
        <f t="shared" si="4"/>
        <v>0</v>
      </c>
    </row>
    <row r="102" spans="21:26" ht="12.75">
      <c r="U102" s="58" t="e">
        <f t="shared" si="0"/>
        <v>#DIV/0!</v>
      </c>
      <c r="V102" s="59">
        <f t="shared" si="5"/>
        <v>0.18000000000000002</v>
      </c>
      <c r="W102" s="60" t="e">
        <f t="shared" si="1"/>
        <v>#DIV/0!</v>
      </c>
      <c r="X102" s="61">
        <f t="shared" si="2"/>
        <v>0</v>
      </c>
      <c r="Y102" s="59">
        <f t="shared" si="3"/>
        <v>0.36000000000000004</v>
      </c>
      <c r="Z102" s="62">
        <f t="shared" si="4"/>
        <v>0</v>
      </c>
    </row>
    <row r="103" spans="21:26" ht="12.75">
      <c r="U103" s="58" t="e">
        <f t="shared" si="0"/>
        <v>#DIV/0!</v>
      </c>
      <c r="V103" s="59">
        <f t="shared" si="5"/>
        <v>0.19000000000000003</v>
      </c>
      <c r="W103" s="60" t="e">
        <f t="shared" si="1"/>
        <v>#DIV/0!</v>
      </c>
      <c r="X103" s="61">
        <f t="shared" si="2"/>
        <v>0</v>
      </c>
      <c r="Y103" s="59">
        <f t="shared" si="3"/>
        <v>0.38000000000000006</v>
      </c>
      <c r="Z103" s="62">
        <f t="shared" si="4"/>
        <v>0</v>
      </c>
    </row>
    <row r="104" spans="21:26" ht="12.75">
      <c r="U104" s="58" t="e">
        <f t="shared" si="0"/>
        <v>#DIV/0!</v>
      </c>
      <c r="V104" s="59">
        <f t="shared" si="5"/>
        <v>0.20000000000000004</v>
      </c>
      <c r="W104" s="60" t="e">
        <f t="shared" si="1"/>
        <v>#DIV/0!</v>
      </c>
      <c r="X104" s="61">
        <f t="shared" si="2"/>
        <v>0</v>
      </c>
      <c r="Y104" s="59">
        <f t="shared" si="3"/>
        <v>0.4000000000000001</v>
      </c>
      <c r="Z104" s="62">
        <f t="shared" si="4"/>
        <v>0</v>
      </c>
    </row>
    <row r="105" spans="21:26" ht="12.75">
      <c r="U105" s="58" t="e">
        <f t="shared" si="0"/>
        <v>#DIV/0!</v>
      </c>
      <c r="V105" s="59">
        <f t="shared" si="5"/>
        <v>0.21000000000000005</v>
      </c>
      <c r="W105" s="60" t="e">
        <f t="shared" si="1"/>
        <v>#DIV/0!</v>
      </c>
      <c r="X105" s="61">
        <f t="shared" si="2"/>
        <v>0</v>
      </c>
      <c r="Y105" s="59">
        <f t="shared" si="3"/>
        <v>0.4200000000000001</v>
      </c>
      <c r="Z105" s="62">
        <f t="shared" si="4"/>
        <v>0</v>
      </c>
    </row>
    <row r="106" spans="21:26" ht="12.75">
      <c r="U106" s="58" t="e">
        <f t="shared" si="0"/>
        <v>#DIV/0!</v>
      </c>
      <c r="V106" s="59">
        <f t="shared" si="5"/>
        <v>0.22000000000000006</v>
      </c>
      <c r="W106" s="60" t="e">
        <f t="shared" si="1"/>
        <v>#DIV/0!</v>
      </c>
      <c r="X106" s="61">
        <f t="shared" si="2"/>
        <v>0</v>
      </c>
      <c r="Y106" s="59">
        <f t="shared" si="3"/>
        <v>0.4400000000000001</v>
      </c>
      <c r="Z106" s="62">
        <f t="shared" si="4"/>
        <v>0</v>
      </c>
    </row>
    <row r="107" spans="21:26" ht="12.75">
      <c r="U107" s="58" t="e">
        <f t="shared" si="0"/>
        <v>#DIV/0!</v>
      </c>
      <c r="V107" s="59">
        <f t="shared" si="5"/>
        <v>0.23000000000000007</v>
      </c>
      <c r="W107" s="60" t="e">
        <f t="shared" si="1"/>
        <v>#DIV/0!</v>
      </c>
      <c r="X107" s="61">
        <f t="shared" si="2"/>
        <v>0</v>
      </c>
      <c r="Y107" s="59">
        <f t="shared" si="3"/>
        <v>0.46000000000000013</v>
      </c>
      <c r="Z107" s="62">
        <f t="shared" si="4"/>
        <v>0</v>
      </c>
    </row>
    <row r="108" spans="21:26" ht="12.75">
      <c r="U108" s="58" t="e">
        <f t="shared" si="0"/>
        <v>#DIV/0!</v>
      </c>
      <c r="V108" s="59">
        <f t="shared" si="5"/>
        <v>0.24000000000000007</v>
      </c>
      <c r="W108" s="60" t="e">
        <f t="shared" si="1"/>
        <v>#DIV/0!</v>
      </c>
      <c r="X108" s="61">
        <f t="shared" si="2"/>
        <v>0</v>
      </c>
      <c r="Y108" s="59">
        <f t="shared" si="3"/>
        <v>0.48000000000000015</v>
      </c>
      <c r="Z108" s="62">
        <f t="shared" si="4"/>
        <v>0</v>
      </c>
    </row>
    <row r="109" spans="21:26" ht="12.75">
      <c r="U109" s="58" t="e">
        <f t="shared" si="0"/>
        <v>#DIV/0!</v>
      </c>
      <c r="V109" s="59">
        <f t="shared" si="5"/>
        <v>0.25000000000000006</v>
      </c>
      <c r="W109" s="60" t="e">
        <f t="shared" si="1"/>
        <v>#DIV/0!</v>
      </c>
      <c r="X109" s="61">
        <f t="shared" si="2"/>
        <v>0</v>
      </c>
      <c r="Y109" s="59">
        <f t="shared" si="3"/>
        <v>0.5000000000000001</v>
      </c>
      <c r="Z109" s="62">
        <f t="shared" si="4"/>
        <v>0</v>
      </c>
    </row>
    <row r="110" spans="21:26" ht="12.75">
      <c r="U110" s="58" t="e">
        <f t="shared" si="0"/>
        <v>#DIV/0!</v>
      </c>
      <c r="V110" s="59">
        <f t="shared" si="5"/>
        <v>0.26000000000000006</v>
      </c>
      <c r="W110" s="60" t="e">
        <f t="shared" si="1"/>
        <v>#DIV/0!</v>
      </c>
      <c r="X110" s="61">
        <f t="shared" si="2"/>
        <v>0</v>
      </c>
      <c r="Y110" s="59">
        <f t="shared" si="3"/>
        <v>0.5200000000000001</v>
      </c>
      <c r="Z110" s="62">
        <f t="shared" si="4"/>
        <v>0</v>
      </c>
    </row>
    <row r="111" spans="21:26" ht="12.75">
      <c r="U111" s="58" t="e">
        <f t="shared" si="0"/>
        <v>#DIV/0!</v>
      </c>
      <c r="V111" s="59">
        <f t="shared" si="5"/>
        <v>0.2700000000000001</v>
      </c>
      <c r="W111" s="60" t="e">
        <f t="shared" si="1"/>
        <v>#DIV/0!</v>
      </c>
      <c r="X111" s="61">
        <f t="shared" si="2"/>
        <v>0</v>
      </c>
      <c r="Y111" s="59">
        <f t="shared" si="3"/>
        <v>0.5400000000000001</v>
      </c>
      <c r="Z111" s="62">
        <f t="shared" si="4"/>
        <v>0</v>
      </c>
    </row>
    <row r="112" spans="21:26" ht="12.75">
      <c r="U112" s="58" t="e">
        <f t="shared" si="0"/>
        <v>#DIV/0!</v>
      </c>
      <c r="V112" s="59">
        <f t="shared" si="5"/>
        <v>0.2800000000000001</v>
      </c>
      <c r="W112" s="60" t="e">
        <f t="shared" si="1"/>
        <v>#DIV/0!</v>
      </c>
      <c r="X112" s="61">
        <f t="shared" si="2"/>
        <v>0</v>
      </c>
      <c r="Y112" s="59">
        <f t="shared" si="3"/>
        <v>0.5600000000000002</v>
      </c>
      <c r="Z112" s="62">
        <f t="shared" si="4"/>
        <v>0</v>
      </c>
    </row>
    <row r="113" spans="21:26" ht="12.75">
      <c r="U113" s="58" t="e">
        <f t="shared" si="0"/>
        <v>#DIV/0!</v>
      </c>
      <c r="V113" s="59">
        <f t="shared" si="5"/>
        <v>0.2900000000000001</v>
      </c>
      <c r="W113" s="60" t="e">
        <f t="shared" si="1"/>
        <v>#DIV/0!</v>
      </c>
      <c r="X113" s="61">
        <f t="shared" si="2"/>
        <v>0</v>
      </c>
      <c r="Y113" s="59">
        <f t="shared" si="3"/>
        <v>0.5800000000000002</v>
      </c>
      <c r="Z113" s="62">
        <f t="shared" si="4"/>
        <v>0</v>
      </c>
    </row>
    <row r="114" spans="21:26" ht="12.75">
      <c r="U114" s="58" t="e">
        <f t="shared" si="0"/>
        <v>#DIV/0!</v>
      </c>
      <c r="V114" s="59">
        <f t="shared" si="5"/>
        <v>0.3000000000000001</v>
      </c>
      <c r="W114" s="60" t="e">
        <f t="shared" si="1"/>
        <v>#DIV/0!</v>
      </c>
      <c r="X114" s="61">
        <f t="shared" si="2"/>
        <v>0</v>
      </c>
      <c r="Y114" s="59">
        <f t="shared" si="3"/>
        <v>0.6000000000000002</v>
      </c>
      <c r="Z114" s="62">
        <f t="shared" si="4"/>
        <v>0</v>
      </c>
    </row>
    <row r="115" spans="21:26" ht="12.75">
      <c r="U115" s="58" t="e">
        <f t="shared" si="0"/>
        <v>#DIV/0!</v>
      </c>
      <c r="V115" s="59">
        <f t="shared" si="5"/>
        <v>0.3100000000000001</v>
      </c>
      <c r="W115" s="60" t="e">
        <f t="shared" si="1"/>
        <v>#DIV/0!</v>
      </c>
      <c r="X115" s="61">
        <f t="shared" si="2"/>
        <v>0</v>
      </c>
      <c r="Y115" s="59">
        <f t="shared" si="3"/>
        <v>0.6200000000000002</v>
      </c>
      <c r="Z115" s="62">
        <f t="shared" si="4"/>
        <v>0</v>
      </c>
    </row>
    <row r="116" spans="21:26" ht="12.75">
      <c r="U116" s="58" t="e">
        <f t="shared" si="0"/>
        <v>#DIV/0!</v>
      </c>
      <c r="V116" s="59">
        <f t="shared" si="5"/>
        <v>0.3200000000000001</v>
      </c>
      <c r="W116" s="60" t="e">
        <f t="shared" si="1"/>
        <v>#DIV/0!</v>
      </c>
      <c r="X116" s="61">
        <f t="shared" si="2"/>
        <v>0</v>
      </c>
      <c r="Y116" s="59">
        <f t="shared" si="3"/>
        <v>0.6400000000000002</v>
      </c>
      <c r="Z116" s="62">
        <f t="shared" si="4"/>
        <v>0</v>
      </c>
    </row>
    <row r="117" spans="21:26" ht="12.75">
      <c r="U117" s="58" t="e">
        <f t="shared" si="0"/>
        <v>#DIV/0!</v>
      </c>
      <c r="V117" s="59">
        <f t="shared" si="5"/>
        <v>0.3300000000000001</v>
      </c>
      <c r="W117" s="60" t="e">
        <f t="shared" si="1"/>
        <v>#DIV/0!</v>
      </c>
      <c r="X117" s="61">
        <f t="shared" si="2"/>
        <v>0</v>
      </c>
      <c r="Y117" s="59">
        <f t="shared" si="3"/>
        <v>0.6600000000000003</v>
      </c>
      <c r="Z117" s="62">
        <f t="shared" si="4"/>
        <v>0</v>
      </c>
    </row>
    <row r="118" spans="21:26" ht="12.75">
      <c r="U118" s="58" t="e">
        <f t="shared" si="0"/>
        <v>#DIV/0!</v>
      </c>
      <c r="V118" s="59">
        <f t="shared" si="5"/>
        <v>0.34000000000000014</v>
      </c>
      <c r="W118" s="60" t="e">
        <f t="shared" si="1"/>
        <v>#DIV/0!</v>
      </c>
      <c r="X118" s="61">
        <f t="shared" si="2"/>
        <v>0</v>
      </c>
      <c r="Y118" s="59">
        <f t="shared" si="3"/>
        <v>0.6800000000000003</v>
      </c>
      <c r="Z118" s="62">
        <f t="shared" si="4"/>
        <v>0</v>
      </c>
    </row>
    <row r="119" spans="21:26" ht="12.75">
      <c r="U119" s="58" t="e">
        <f t="shared" si="0"/>
        <v>#DIV/0!</v>
      </c>
      <c r="V119" s="59">
        <f t="shared" si="5"/>
        <v>0.35000000000000014</v>
      </c>
      <c r="W119" s="60" t="e">
        <f t="shared" si="1"/>
        <v>#DIV/0!</v>
      </c>
      <c r="X119" s="61">
        <f t="shared" si="2"/>
        <v>0</v>
      </c>
      <c r="Y119" s="59">
        <f t="shared" si="3"/>
        <v>0.7000000000000003</v>
      </c>
      <c r="Z119" s="62">
        <f t="shared" si="4"/>
        <v>0</v>
      </c>
    </row>
    <row r="120" spans="21:26" ht="12.75">
      <c r="U120" s="58" t="e">
        <f t="shared" si="0"/>
        <v>#DIV/0!</v>
      </c>
      <c r="V120" s="59">
        <f t="shared" si="5"/>
        <v>0.36000000000000015</v>
      </c>
      <c r="W120" s="60" t="e">
        <f t="shared" si="1"/>
        <v>#DIV/0!</v>
      </c>
      <c r="X120" s="61">
        <f t="shared" si="2"/>
        <v>0</v>
      </c>
      <c r="Y120" s="59">
        <f t="shared" si="3"/>
        <v>0.7200000000000003</v>
      </c>
      <c r="Z120" s="62">
        <f t="shared" si="4"/>
        <v>0</v>
      </c>
    </row>
    <row r="121" spans="21:26" ht="12.75">
      <c r="U121" s="58" t="e">
        <f t="shared" si="0"/>
        <v>#DIV/0!</v>
      </c>
      <c r="V121" s="59">
        <f t="shared" si="5"/>
        <v>0.37000000000000016</v>
      </c>
      <c r="W121" s="60" t="e">
        <f t="shared" si="1"/>
        <v>#DIV/0!</v>
      </c>
      <c r="X121" s="61">
        <f t="shared" si="2"/>
        <v>0</v>
      </c>
      <c r="Y121" s="59">
        <f t="shared" si="3"/>
        <v>0.7400000000000003</v>
      </c>
      <c r="Z121" s="62">
        <f t="shared" si="4"/>
        <v>0</v>
      </c>
    </row>
    <row r="122" spans="21:26" ht="12.75">
      <c r="U122" s="58" t="e">
        <f t="shared" si="0"/>
        <v>#DIV/0!</v>
      </c>
      <c r="V122" s="59">
        <f t="shared" si="5"/>
        <v>0.38000000000000017</v>
      </c>
      <c r="W122" s="60" t="e">
        <f t="shared" si="1"/>
        <v>#DIV/0!</v>
      </c>
      <c r="X122" s="61">
        <f t="shared" si="2"/>
        <v>0</v>
      </c>
      <c r="Y122" s="59">
        <f t="shared" si="3"/>
        <v>0.7600000000000003</v>
      </c>
      <c r="Z122" s="62">
        <f t="shared" si="4"/>
        <v>0</v>
      </c>
    </row>
    <row r="123" spans="21:26" ht="12.75">
      <c r="U123" s="58" t="e">
        <f t="shared" si="0"/>
        <v>#DIV/0!</v>
      </c>
      <c r="V123" s="59">
        <f t="shared" si="5"/>
        <v>0.3900000000000002</v>
      </c>
      <c r="W123" s="60" t="e">
        <f t="shared" si="1"/>
        <v>#DIV/0!</v>
      </c>
      <c r="X123" s="61">
        <f t="shared" si="2"/>
        <v>0</v>
      </c>
      <c r="Y123" s="59">
        <f t="shared" si="3"/>
        <v>0.7800000000000004</v>
      </c>
      <c r="Z123" s="62">
        <f t="shared" si="4"/>
        <v>0</v>
      </c>
    </row>
    <row r="124" spans="21:26" ht="12.75">
      <c r="U124" s="58" t="e">
        <f t="shared" si="0"/>
        <v>#DIV/0!</v>
      </c>
      <c r="V124" s="59">
        <f t="shared" si="5"/>
        <v>0.4000000000000002</v>
      </c>
      <c r="W124" s="60" t="e">
        <f t="shared" si="1"/>
        <v>#DIV/0!</v>
      </c>
      <c r="X124" s="61">
        <f t="shared" si="2"/>
        <v>0</v>
      </c>
      <c r="Y124" s="59">
        <f t="shared" si="3"/>
        <v>0.8000000000000004</v>
      </c>
      <c r="Z124" s="62">
        <f t="shared" si="4"/>
        <v>0</v>
      </c>
    </row>
    <row r="125" spans="21:26" ht="12.75">
      <c r="U125" s="58" t="e">
        <f t="shared" si="0"/>
        <v>#DIV/0!</v>
      </c>
      <c r="V125" s="59">
        <f t="shared" si="5"/>
        <v>0.4100000000000002</v>
      </c>
      <c r="W125" s="60" t="e">
        <f t="shared" si="1"/>
        <v>#DIV/0!</v>
      </c>
      <c r="X125" s="61">
        <f t="shared" si="2"/>
        <v>0</v>
      </c>
      <c r="Y125" s="59">
        <f t="shared" si="3"/>
        <v>0.8200000000000004</v>
      </c>
      <c r="Z125" s="62">
        <f t="shared" si="4"/>
        <v>0</v>
      </c>
    </row>
    <row r="126" spans="21:26" ht="12.75">
      <c r="U126" s="58" t="e">
        <f t="shared" si="0"/>
        <v>#DIV/0!</v>
      </c>
      <c r="V126" s="59">
        <f t="shared" si="5"/>
        <v>0.4200000000000002</v>
      </c>
      <c r="W126" s="60" t="e">
        <f t="shared" si="1"/>
        <v>#DIV/0!</v>
      </c>
      <c r="X126" s="61">
        <f t="shared" si="2"/>
        <v>0</v>
      </c>
      <c r="Y126" s="59">
        <f t="shared" si="3"/>
        <v>0.8400000000000004</v>
      </c>
      <c r="Z126" s="62">
        <f t="shared" si="4"/>
        <v>0</v>
      </c>
    </row>
    <row r="127" spans="21:26" ht="12.75">
      <c r="U127" s="58" t="e">
        <f t="shared" si="0"/>
        <v>#DIV/0!</v>
      </c>
      <c r="V127" s="59">
        <f t="shared" si="5"/>
        <v>0.4300000000000002</v>
      </c>
      <c r="W127" s="60" t="e">
        <f t="shared" si="1"/>
        <v>#DIV/0!</v>
      </c>
      <c r="X127" s="61">
        <f t="shared" si="2"/>
        <v>0</v>
      </c>
      <c r="Y127" s="59">
        <f t="shared" si="3"/>
        <v>0.8600000000000004</v>
      </c>
      <c r="Z127" s="62">
        <f t="shared" si="4"/>
        <v>0</v>
      </c>
    </row>
    <row r="128" spans="21:26" ht="12.75">
      <c r="U128" s="58" t="e">
        <f t="shared" si="0"/>
        <v>#DIV/0!</v>
      </c>
      <c r="V128" s="59">
        <f t="shared" si="5"/>
        <v>0.4400000000000002</v>
      </c>
      <c r="W128" s="60" t="e">
        <f t="shared" si="1"/>
        <v>#DIV/0!</v>
      </c>
      <c r="X128" s="61">
        <f t="shared" si="2"/>
        <v>0</v>
      </c>
      <c r="Y128" s="59">
        <f t="shared" si="3"/>
        <v>0.8800000000000004</v>
      </c>
      <c r="Z128" s="62">
        <f t="shared" si="4"/>
        <v>0</v>
      </c>
    </row>
    <row r="129" spans="21:26" ht="12.75">
      <c r="U129" s="58" t="e">
        <f t="shared" si="0"/>
        <v>#DIV/0!</v>
      </c>
      <c r="V129" s="59">
        <f t="shared" si="5"/>
        <v>0.45000000000000023</v>
      </c>
      <c r="W129" s="60" t="e">
        <f t="shared" si="1"/>
        <v>#DIV/0!</v>
      </c>
      <c r="X129" s="61">
        <f t="shared" si="2"/>
        <v>0</v>
      </c>
      <c r="Y129" s="59">
        <f t="shared" si="3"/>
        <v>0.9000000000000005</v>
      </c>
      <c r="Z129" s="62">
        <f t="shared" si="4"/>
        <v>0</v>
      </c>
    </row>
    <row r="130" spans="21:26" ht="12.75">
      <c r="U130" s="58" t="e">
        <f t="shared" si="0"/>
        <v>#DIV/0!</v>
      </c>
      <c r="V130" s="59">
        <f t="shared" si="5"/>
        <v>0.46000000000000024</v>
      </c>
      <c r="W130" s="60" t="e">
        <f t="shared" si="1"/>
        <v>#DIV/0!</v>
      </c>
      <c r="X130" s="61">
        <f t="shared" si="2"/>
        <v>0</v>
      </c>
      <c r="Y130" s="59">
        <f t="shared" si="3"/>
        <v>0.9200000000000005</v>
      </c>
      <c r="Z130" s="62">
        <f t="shared" si="4"/>
        <v>0</v>
      </c>
    </row>
    <row r="131" spans="21:26" ht="12.75">
      <c r="U131" s="58" t="e">
        <f t="shared" si="0"/>
        <v>#DIV/0!</v>
      </c>
      <c r="V131" s="59">
        <f t="shared" si="5"/>
        <v>0.47000000000000025</v>
      </c>
      <c r="W131" s="60" t="e">
        <f t="shared" si="1"/>
        <v>#DIV/0!</v>
      </c>
      <c r="X131" s="61">
        <f t="shared" si="2"/>
        <v>0</v>
      </c>
      <c r="Y131" s="59">
        <f t="shared" si="3"/>
        <v>0.9400000000000005</v>
      </c>
      <c r="Z131" s="62">
        <f t="shared" si="4"/>
        <v>0</v>
      </c>
    </row>
    <row r="132" spans="21:26" ht="12.75">
      <c r="U132" s="58" t="e">
        <f t="shared" si="0"/>
        <v>#DIV/0!</v>
      </c>
      <c r="V132" s="59">
        <f t="shared" si="5"/>
        <v>0.48000000000000026</v>
      </c>
      <c r="W132" s="60" t="e">
        <f t="shared" si="1"/>
        <v>#DIV/0!</v>
      </c>
      <c r="X132" s="61">
        <f t="shared" si="2"/>
        <v>0</v>
      </c>
      <c r="Y132" s="59">
        <f t="shared" si="3"/>
        <v>0.9600000000000005</v>
      </c>
      <c r="Z132" s="62">
        <f t="shared" si="4"/>
        <v>0</v>
      </c>
    </row>
    <row r="133" spans="21:26" ht="12.75">
      <c r="U133" s="58" t="e">
        <f t="shared" si="0"/>
        <v>#DIV/0!</v>
      </c>
      <c r="V133" s="59">
        <f t="shared" si="5"/>
        <v>0.49000000000000027</v>
      </c>
      <c r="W133" s="60" t="e">
        <f t="shared" si="1"/>
        <v>#DIV/0!</v>
      </c>
      <c r="X133" s="61">
        <f t="shared" si="2"/>
        <v>0</v>
      </c>
      <c r="Y133" s="59">
        <f t="shared" si="3"/>
        <v>0.9800000000000005</v>
      </c>
      <c r="Z133" s="62">
        <f t="shared" si="4"/>
        <v>0</v>
      </c>
    </row>
    <row r="134" spans="21:26" ht="12.75">
      <c r="U134" s="58" t="e">
        <f t="shared" si="0"/>
        <v>#DIV/0!</v>
      </c>
      <c r="V134" s="59">
        <f t="shared" si="5"/>
        <v>0.5000000000000002</v>
      </c>
      <c r="W134" s="60" t="e">
        <f t="shared" si="1"/>
        <v>#DIV/0!</v>
      </c>
      <c r="X134" s="61">
        <f t="shared" si="2"/>
        <v>0</v>
      </c>
      <c r="Y134" s="59">
        <f t="shared" si="3"/>
        <v>1.0000000000000004</v>
      </c>
      <c r="Z134" s="62">
        <f t="shared" si="4"/>
        <v>0</v>
      </c>
    </row>
    <row r="135" spans="21:26" ht="12.75">
      <c r="U135" s="58" t="e">
        <f t="shared" si="0"/>
        <v>#DIV/0!</v>
      </c>
      <c r="V135" s="59">
        <f t="shared" si="5"/>
        <v>0.5100000000000002</v>
      </c>
      <c r="W135" s="60" t="e">
        <f t="shared" si="1"/>
        <v>#DIV/0!</v>
      </c>
      <c r="X135" s="61">
        <f t="shared" si="2"/>
        <v>0</v>
      </c>
      <c r="Y135" s="59">
        <f t="shared" si="3"/>
        <v>1.0200000000000005</v>
      </c>
      <c r="Z135" s="62">
        <f t="shared" si="4"/>
        <v>0</v>
      </c>
    </row>
    <row r="136" spans="21:26" ht="12.75">
      <c r="U136" s="58" t="e">
        <f t="shared" si="0"/>
        <v>#DIV/0!</v>
      </c>
      <c r="V136" s="59">
        <f t="shared" si="5"/>
        <v>0.5200000000000002</v>
      </c>
      <c r="W136" s="60" t="e">
        <f t="shared" si="1"/>
        <v>#DIV/0!</v>
      </c>
      <c r="X136" s="61">
        <f t="shared" si="2"/>
        <v>0</v>
      </c>
      <c r="Y136" s="59">
        <f t="shared" si="3"/>
        <v>1.0400000000000005</v>
      </c>
      <c r="Z136" s="62">
        <f t="shared" si="4"/>
        <v>0</v>
      </c>
    </row>
    <row r="137" spans="21:26" ht="12.75">
      <c r="U137" s="58" t="e">
        <f t="shared" si="0"/>
        <v>#DIV/0!</v>
      </c>
      <c r="V137" s="59">
        <f t="shared" si="5"/>
        <v>0.5300000000000002</v>
      </c>
      <c r="W137" s="60" t="e">
        <f t="shared" si="1"/>
        <v>#DIV/0!</v>
      </c>
      <c r="X137" s="61">
        <f t="shared" si="2"/>
        <v>0</v>
      </c>
      <c r="Y137" s="59">
        <f t="shared" si="3"/>
        <v>1.0600000000000005</v>
      </c>
      <c r="Z137" s="62">
        <f t="shared" si="4"/>
        <v>0</v>
      </c>
    </row>
    <row r="138" spans="21:26" ht="12.75">
      <c r="U138" s="58" t="e">
        <f t="shared" si="0"/>
        <v>#DIV/0!</v>
      </c>
      <c r="V138" s="59">
        <f t="shared" si="5"/>
        <v>0.5400000000000003</v>
      </c>
      <c r="W138" s="60" t="e">
        <f t="shared" si="1"/>
        <v>#DIV/0!</v>
      </c>
      <c r="X138" s="61">
        <f t="shared" si="2"/>
        <v>0</v>
      </c>
      <c r="Y138" s="59">
        <f t="shared" si="3"/>
        <v>1.0800000000000005</v>
      </c>
      <c r="Z138" s="62">
        <f t="shared" si="4"/>
        <v>0</v>
      </c>
    </row>
    <row r="139" spans="21:26" ht="12.75">
      <c r="U139" s="58" t="e">
        <f t="shared" si="0"/>
        <v>#DIV/0!</v>
      </c>
      <c r="V139" s="59">
        <f t="shared" si="5"/>
        <v>0.5500000000000003</v>
      </c>
      <c r="W139" s="60" t="e">
        <f t="shared" si="1"/>
        <v>#DIV/0!</v>
      </c>
      <c r="X139" s="61">
        <f t="shared" si="2"/>
        <v>0</v>
      </c>
      <c r="Y139" s="59">
        <f t="shared" si="3"/>
        <v>1.1000000000000005</v>
      </c>
      <c r="Z139" s="62">
        <f t="shared" si="4"/>
        <v>0</v>
      </c>
    </row>
    <row r="140" spans="21:26" ht="12.75">
      <c r="U140" s="58" t="e">
        <f t="shared" si="0"/>
        <v>#DIV/0!</v>
      </c>
      <c r="V140" s="59">
        <f t="shared" si="5"/>
        <v>0.5600000000000003</v>
      </c>
      <c r="W140" s="60" t="e">
        <f t="shared" si="1"/>
        <v>#DIV/0!</v>
      </c>
      <c r="X140" s="61">
        <f t="shared" si="2"/>
        <v>0</v>
      </c>
      <c r="Y140" s="59">
        <f t="shared" si="3"/>
        <v>1.1200000000000006</v>
      </c>
      <c r="Z140" s="62">
        <f t="shared" si="4"/>
        <v>0</v>
      </c>
    </row>
    <row r="141" spans="21:26" ht="12.75">
      <c r="U141" s="58" t="e">
        <f t="shared" si="0"/>
        <v>#DIV/0!</v>
      </c>
      <c r="V141" s="59">
        <f t="shared" si="5"/>
        <v>0.5700000000000003</v>
      </c>
      <c r="W141" s="60" t="e">
        <f t="shared" si="1"/>
        <v>#DIV/0!</v>
      </c>
      <c r="X141" s="61">
        <f t="shared" si="2"/>
        <v>0</v>
      </c>
      <c r="Y141" s="59">
        <f t="shared" si="3"/>
        <v>1.1400000000000006</v>
      </c>
      <c r="Z141" s="62">
        <f t="shared" si="4"/>
        <v>0</v>
      </c>
    </row>
    <row r="142" spans="21:26" ht="12.75">
      <c r="U142" s="58" t="e">
        <f t="shared" si="0"/>
        <v>#DIV/0!</v>
      </c>
      <c r="V142" s="59">
        <f t="shared" si="5"/>
        <v>0.5800000000000003</v>
      </c>
      <c r="W142" s="60" t="e">
        <f t="shared" si="1"/>
        <v>#DIV/0!</v>
      </c>
      <c r="X142" s="61">
        <f t="shared" si="2"/>
        <v>0</v>
      </c>
      <c r="Y142" s="59">
        <f t="shared" si="3"/>
        <v>1.1600000000000006</v>
      </c>
      <c r="Z142" s="62">
        <f t="shared" si="4"/>
        <v>0</v>
      </c>
    </row>
    <row r="143" spans="21:26" ht="12.75">
      <c r="U143" s="58" t="e">
        <f t="shared" si="0"/>
        <v>#DIV/0!</v>
      </c>
      <c r="V143" s="59">
        <f t="shared" si="5"/>
        <v>0.5900000000000003</v>
      </c>
      <c r="W143" s="60" t="e">
        <f t="shared" si="1"/>
        <v>#DIV/0!</v>
      </c>
      <c r="X143" s="61">
        <f t="shared" si="2"/>
        <v>0</v>
      </c>
      <c r="Y143" s="59">
        <f t="shared" si="3"/>
        <v>1.1800000000000006</v>
      </c>
      <c r="Z143" s="62">
        <f t="shared" si="4"/>
        <v>0</v>
      </c>
    </row>
    <row r="144" spans="21:26" ht="12.75">
      <c r="U144" s="58" t="e">
        <f t="shared" si="0"/>
        <v>#DIV/0!</v>
      </c>
      <c r="V144" s="59">
        <f t="shared" si="5"/>
        <v>0.6000000000000003</v>
      </c>
      <c r="W144" s="60" t="e">
        <f t="shared" si="1"/>
        <v>#DIV/0!</v>
      </c>
      <c r="X144" s="61">
        <f t="shared" si="2"/>
        <v>0</v>
      </c>
      <c r="Y144" s="59">
        <f t="shared" si="3"/>
        <v>1.2000000000000006</v>
      </c>
      <c r="Z144" s="62">
        <f t="shared" si="4"/>
        <v>0</v>
      </c>
    </row>
    <row r="145" spans="21:26" ht="12.75">
      <c r="U145" s="58" t="e">
        <f t="shared" si="0"/>
        <v>#DIV/0!</v>
      </c>
      <c r="V145" s="59">
        <f t="shared" si="5"/>
        <v>0.6100000000000003</v>
      </c>
      <c r="W145" s="60" t="e">
        <f t="shared" si="1"/>
        <v>#DIV/0!</v>
      </c>
      <c r="X145" s="61">
        <f t="shared" si="2"/>
        <v>0</v>
      </c>
      <c r="Y145" s="59">
        <f t="shared" si="3"/>
        <v>1.2200000000000006</v>
      </c>
      <c r="Z145" s="62">
        <f t="shared" si="4"/>
        <v>0</v>
      </c>
    </row>
    <row r="146" spans="21:26" ht="12.75">
      <c r="U146" s="58" t="e">
        <f t="shared" si="0"/>
        <v>#DIV/0!</v>
      </c>
      <c r="V146" s="59">
        <f t="shared" si="5"/>
        <v>0.6200000000000003</v>
      </c>
      <c r="W146" s="60" t="e">
        <f t="shared" si="1"/>
        <v>#DIV/0!</v>
      </c>
      <c r="X146" s="61">
        <f t="shared" si="2"/>
        <v>0</v>
      </c>
      <c r="Y146" s="59">
        <f t="shared" si="3"/>
        <v>1.2400000000000007</v>
      </c>
      <c r="Z146" s="62">
        <f t="shared" si="4"/>
        <v>0</v>
      </c>
    </row>
    <row r="147" spans="21:26" ht="12.75">
      <c r="U147" s="58" t="e">
        <f t="shared" si="0"/>
        <v>#DIV/0!</v>
      </c>
      <c r="V147" s="59">
        <f t="shared" si="5"/>
        <v>0.6300000000000003</v>
      </c>
      <c r="W147" s="60" t="e">
        <f t="shared" si="1"/>
        <v>#DIV/0!</v>
      </c>
      <c r="X147" s="61">
        <f t="shared" si="2"/>
        <v>0</v>
      </c>
      <c r="Y147" s="59">
        <f t="shared" si="3"/>
        <v>1.2600000000000007</v>
      </c>
      <c r="Z147" s="62">
        <f t="shared" si="4"/>
        <v>0</v>
      </c>
    </row>
    <row r="148" spans="21:26" ht="12.75">
      <c r="U148" s="58" t="e">
        <f t="shared" si="0"/>
        <v>#DIV/0!</v>
      </c>
      <c r="V148" s="59">
        <f t="shared" si="5"/>
        <v>0.6400000000000003</v>
      </c>
      <c r="W148" s="60" t="e">
        <f t="shared" si="1"/>
        <v>#DIV/0!</v>
      </c>
      <c r="X148" s="61">
        <f t="shared" si="2"/>
        <v>0</v>
      </c>
      <c r="Y148" s="59">
        <f t="shared" si="3"/>
        <v>1.2800000000000007</v>
      </c>
      <c r="Z148" s="62">
        <f t="shared" si="4"/>
        <v>0</v>
      </c>
    </row>
    <row r="149" spans="21:26" ht="12.75">
      <c r="U149" s="58" t="e">
        <f aca="true" t="shared" si="6" ref="U149:U160">(1.49/X$80)*X149*(Z149^0.667)*(Y$80^0.5)</f>
        <v>#DIV/0!</v>
      </c>
      <c r="V149" s="59">
        <f t="shared" si="5"/>
        <v>0.6500000000000004</v>
      </c>
      <c r="W149" s="60" t="e">
        <f aca="true" t="shared" si="7" ref="W149:W160">U149/X149</f>
        <v>#DIV/0!</v>
      </c>
      <c r="X149" s="61">
        <f aca="true" t="shared" si="8" ref="X149:X155">V$80*(V149)+(W$80*(V149)^2)</f>
        <v>0</v>
      </c>
      <c r="Y149" s="59">
        <f aca="true" t="shared" si="9" ref="Y149:Y155">V$80+2*(V149)*(1+(W$80^2))^0.5</f>
        <v>1.3000000000000007</v>
      </c>
      <c r="Z149" s="62">
        <f aca="true" t="shared" si="10" ref="Z149:Z160">X149/Y149</f>
        <v>0</v>
      </c>
    </row>
    <row r="150" spans="21:26" ht="12.75">
      <c r="U150" s="58" t="e">
        <f t="shared" si="6"/>
        <v>#DIV/0!</v>
      </c>
      <c r="V150" s="59">
        <f t="shared" si="5"/>
        <v>0.6600000000000004</v>
      </c>
      <c r="W150" s="60" t="e">
        <f t="shared" si="7"/>
        <v>#DIV/0!</v>
      </c>
      <c r="X150" s="61">
        <f t="shared" si="8"/>
        <v>0</v>
      </c>
      <c r="Y150" s="59">
        <f t="shared" si="9"/>
        <v>1.3200000000000007</v>
      </c>
      <c r="Z150" s="62">
        <f t="shared" si="10"/>
        <v>0</v>
      </c>
    </row>
    <row r="151" spans="21:26" ht="12.75">
      <c r="U151" s="58" t="e">
        <f t="shared" si="6"/>
        <v>#DIV/0!</v>
      </c>
      <c r="V151" s="59">
        <f>V150+0.01</f>
        <v>0.6700000000000004</v>
      </c>
      <c r="W151" s="60" t="e">
        <f t="shared" si="7"/>
        <v>#DIV/0!</v>
      </c>
      <c r="X151" s="61">
        <f t="shared" si="8"/>
        <v>0</v>
      </c>
      <c r="Y151" s="59">
        <f t="shared" si="9"/>
        <v>1.3400000000000007</v>
      </c>
      <c r="Z151" s="62">
        <f t="shared" si="10"/>
        <v>0</v>
      </c>
    </row>
    <row r="152" spans="21:26" ht="12.75">
      <c r="U152" s="58" t="e">
        <f t="shared" si="6"/>
        <v>#DIV/0!</v>
      </c>
      <c r="V152" s="59">
        <f>V151+0.01</f>
        <v>0.6800000000000004</v>
      </c>
      <c r="W152" s="60" t="e">
        <f t="shared" si="7"/>
        <v>#DIV/0!</v>
      </c>
      <c r="X152" s="61">
        <f t="shared" si="8"/>
        <v>0</v>
      </c>
      <c r="Y152" s="59">
        <f t="shared" si="9"/>
        <v>1.3600000000000008</v>
      </c>
      <c r="Z152" s="62">
        <f t="shared" si="10"/>
        <v>0</v>
      </c>
    </row>
    <row r="153" spans="21:26" ht="12.75">
      <c r="U153" s="58" t="e">
        <f t="shared" si="6"/>
        <v>#DIV/0!</v>
      </c>
      <c r="V153" s="59">
        <f>V152+0.01</f>
        <v>0.6900000000000004</v>
      </c>
      <c r="W153" s="60" t="e">
        <f t="shared" si="7"/>
        <v>#DIV/0!</v>
      </c>
      <c r="X153" s="61">
        <f t="shared" si="8"/>
        <v>0</v>
      </c>
      <c r="Y153" s="59">
        <f t="shared" si="9"/>
        <v>1.3800000000000008</v>
      </c>
      <c r="Z153" s="62">
        <f t="shared" si="10"/>
        <v>0</v>
      </c>
    </row>
    <row r="154" spans="21:26" ht="12.75">
      <c r="U154" s="58" t="e">
        <f t="shared" si="6"/>
        <v>#DIV/0!</v>
      </c>
      <c r="V154" s="59">
        <f>V153+0.01</f>
        <v>0.7000000000000004</v>
      </c>
      <c r="W154" s="60" t="e">
        <f t="shared" si="7"/>
        <v>#DIV/0!</v>
      </c>
      <c r="X154" s="61">
        <f t="shared" si="8"/>
        <v>0</v>
      </c>
      <c r="Y154" s="59">
        <f t="shared" si="9"/>
        <v>1.4000000000000008</v>
      </c>
      <c r="Z154" s="62">
        <f t="shared" si="10"/>
        <v>0</v>
      </c>
    </row>
    <row r="155" spans="21:26" ht="12.75">
      <c r="U155" s="58" t="e">
        <f t="shared" si="6"/>
        <v>#DIV/0!</v>
      </c>
      <c r="V155" s="36">
        <v>1</v>
      </c>
      <c r="W155" s="60" t="e">
        <f t="shared" si="7"/>
        <v>#DIV/0!</v>
      </c>
      <c r="X155" s="61">
        <f t="shared" si="8"/>
        <v>0</v>
      </c>
      <c r="Y155" s="59">
        <f t="shared" si="9"/>
        <v>2</v>
      </c>
      <c r="Z155" s="62">
        <f t="shared" si="10"/>
        <v>0</v>
      </c>
    </row>
    <row r="156" spans="21:26" ht="12.75">
      <c r="U156" s="58" t="e">
        <f t="shared" si="6"/>
        <v>#DIV/0!</v>
      </c>
      <c r="V156" s="59">
        <f>V155+0.25</f>
        <v>1.25</v>
      </c>
      <c r="W156" s="60" t="e">
        <f t="shared" si="7"/>
        <v>#DIV/0!</v>
      </c>
      <c r="X156" s="61">
        <f>V$80*(V156)+(W$80*(V156)^2)</f>
        <v>0</v>
      </c>
      <c r="Y156" s="59">
        <f>V$80+2*(V156)*(1+(W$80^2))^0.5</f>
        <v>2.5</v>
      </c>
      <c r="Z156" s="62">
        <f t="shared" si="10"/>
        <v>0</v>
      </c>
    </row>
    <row r="157" spans="21:26" ht="12.75">
      <c r="U157" s="58" t="e">
        <f t="shared" si="6"/>
        <v>#DIV/0!</v>
      </c>
      <c r="V157" s="59">
        <f>V156+0.25</f>
        <v>1.5</v>
      </c>
      <c r="W157" s="60" t="e">
        <f t="shared" si="7"/>
        <v>#DIV/0!</v>
      </c>
      <c r="X157" s="61">
        <f>V$80*(V157)+(W$80*(V157)^2)</f>
        <v>0</v>
      </c>
      <c r="Y157" s="59">
        <f>V$80+2*(V157)*(1+(W$80^2))^0.5</f>
        <v>3</v>
      </c>
      <c r="Z157" s="62">
        <f t="shared" si="10"/>
        <v>0</v>
      </c>
    </row>
    <row r="158" spans="21:26" ht="12.75">
      <c r="U158" s="58" t="e">
        <f t="shared" si="6"/>
        <v>#DIV/0!</v>
      </c>
      <c r="V158" s="59">
        <f>V157+0.25</f>
        <v>1.75</v>
      </c>
      <c r="W158" s="60" t="e">
        <f t="shared" si="7"/>
        <v>#DIV/0!</v>
      </c>
      <c r="X158" s="61">
        <f>V$80*(V158)+(W$80*(V158)^2)</f>
        <v>0</v>
      </c>
      <c r="Y158" s="59">
        <f>V$80+2*(V158)*(1+(W$80^2))^0.5</f>
        <v>3.5</v>
      </c>
      <c r="Z158" s="62">
        <f t="shared" si="10"/>
        <v>0</v>
      </c>
    </row>
    <row r="159" spans="21:26" ht="12.75">
      <c r="U159" s="58" t="e">
        <f t="shared" si="6"/>
        <v>#DIV/0!</v>
      </c>
      <c r="V159" s="59">
        <f>V158+0.25</f>
        <v>2</v>
      </c>
      <c r="W159" s="60" t="e">
        <f t="shared" si="7"/>
        <v>#DIV/0!</v>
      </c>
      <c r="X159" s="61">
        <f>V$80*(V159)+(W$80*(V159)^2)</f>
        <v>0</v>
      </c>
      <c r="Y159" s="59">
        <f>V$80+2*(V159)*(1+(W$80^2))^0.5</f>
        <v>4</v>
      </c>
      <c r="Z159" s="62">
        <f t="shared" si="10"/>
        <v>0</v>
      </c>
    </row>
    <row r="160" spans="21:26" ht="12.75">
      <c r="U160" s="58" t="e">
        <f t="shared" si="6"/>
        <v>#DIV/0!</v>
      </c>
      <c r="V160" s="59">
        <f>V159+0.25</f>
        <v>2.25</v>
      </c>
      <c r="W160" s="60" t="e">
        <f t="shared" si="7"/>
        <v>#DIV/0!</v>
      </c>
      <c r="X160" s="61">
        <f>V$80*(V160)+(W$80*(V160)^2)</f>
        <v>0</v>
      </c>
      <c r="Y160" s="59">
        <f>V$80+2*(V160)*(1+(W$80^2))^0.5</f>
        <v>4.5</v>
      </c>
      <c r="Z160" s="62">
        <f t="shared" si="10"/>
        <v>0</v>
      </c>
    </row>
  </sheetData>
  <sheetProtection selectLockedCells="1"/>
  <mergeCells count="8">
    <mergeCell ref="C62:D62"/>
    <mergeCell ref="C63:D63"/>
    <mergeCell ref="C70:D70"/>
    <mergeCell ref="B46:D46"/>
    <mergeCell ref="B47:D47"/>
    <mergeCell ref="B51:D51"/>
    <mergeCell ref="B57:D57"/>
    <mergeCell ref="B58:D58"/>
  </mergeCells>
  <dataValidations count="1">
    <dataValidation type="list" allowBlank="1" showInputMessage="1" showErrorMessage="1" sqref="C32">
      <formula1>"Yes, No"</formula1>
    </dataValidation>
  </dataValidations>
  <printOptions/>
  <pageMargins left="0.5" right="0.5" top="0.35" bottom="0.4" header="0.35" footer="0.4"/>
  <pageSetup fitToHeight="0" fitToWidth="1" horizontalDpi="600" verticalDpi="600" orientation="landscape" scale="79" r:id="rId3"/>
  <headerFooter alignWithMargins="0">
    <oddFooter>&amp;L&amp;8November 2011 Version</oddFooter>
  </headerFooter>
  <rowBreaks count="1" manualBreakCount="1">
    <brk id="39" max="4" man="1"/>
  </rowBreaks>
  <drawing r:id="rId2"/>
  <legacyDrawing r:id="rId1"/>
</worksheet>
</file>

<file path=xl/worksheets/sheet12.xml><?xml version="1.0" encoding="utf-8"?>
<worksheet xmlns="http://schemas.openxmlformats.org/spreadsheetml/2006/main" xmlns:r="http://schemas.openxmlformats.org/officeDocument/2006/relationships">
  <sheetPr codeName="Sheet7">
    <tabColor indexed="43"/>
    <pageSetUpPr fitToPage="1"/>
  </sheetPr>
  <dimension ref="A1:AA155"/>
  <sheetViews>
    <sheetView zoomScaleSheetLayoutView="50" zoomScalePageLayoutView="0" workbookViewId="0" topLeftCell="A1">
      <selection activeCell="C10" sqref="C10"/>
    </sheetView>
  </sheetViews>
  <sheetFormatPr defaultColWidth="8.8515625" defaultRowHeight="12.75"/>
  <cols>
    <col min="1" max="1" width="9.7109375" style="0" customWidth="1"/>
    <col min="2" max="2" width="42.140625" style="0" customWidth="1"/>
    <col min="3" max="3" width="9.140625" customWidth="1"/>
    <col min="4" max="4" width="108.57421875" style="0" customWidth="1"/>
    <col min="5" max="5" width="9.140625" customWidth="1"/>
    <col min="6" max="6" width="7.7109375" style="36" customWidth="1"/>
    <col min="7" max="7" width="26.00390625" style="0" customWidth="1"/>
    <col min="8" max="8" width="15.140625" style="0" customWidth="1"/>
    <col min="9" max="9" width="24.00390625" style="0" customWidth="1"/>
    <col min="10" max="22" width="9.140625" customWidth="1"/>
    <col min="23" max="23" width="10.00390625" style="0" customWidth="1"/>
    <col min="24" max="16384" width="9.140625" customWidth="1"/>
  </cols>
  <sheetData>
    <row r="1" spans="1:6" ht="15.75">
      <c r="A1" s="39" t="s">
        <v>577</v>
      </c>
      <c r="F1"/>
    </row>
    <row r="2" spans="1:6" ht="12.75">
      <c r="A2" t="s">
        <v>280</v>
      </c>
      <c r="F2"/>
    </row>
    <row r="3" ht="12.75">
      <c r="F3"/>
    </row>
    <row r="4" ht="12.75">
      <c r="F4"/>
    </row>
    <row r="5" ht="12.75">
      <c r="F5"/>
    </row>
    <row r="6" ht="12.75">
      <c r="F6"/>
    </row>
    <row r="7" ht="12.75">
      <c r="F7"/>
    </row>
    <row r="8" spans="1:7" ht="12.75">
      <c r="A8" s="1" t="s">
        <v>666</v>
      </c>
      <c r="E8" s="69"/>
      <c r="F8" s="49"/>
      <c r="G8" s="32"/>
    </row>
    <row r="9" spans="1:7" ht="13.5" thickBot="1">
      <c r="A9" s="1" t="s">
        <v>465</v>
      </c>
      <c r="B9" s="1"/>
      <c r="E9" s="69"/>
      <c r="F9" s="49"/>
      <c r="G9" s="32"/>
    </row>
    <row r="10" spans="1:6" ht="12.75">
      <c r="A10" s="425">
        <v>1</v>
      </c>
      <c r="B10" s="5" t="s">
        <v>520</v>
      </c>
      <c r="C10" s="587"/>
      <c r="D10" s="123" t="s">
        <v>561</v>
      </c>
      <c r="E10" s="69"/>
      <c r="F10" s="57"/>
    </row>
    <row r="11" spans="1:6" ht="12.75">
      <c r="A11" s="425">
        <v>2</v>
      </c>
      <c r="B11" s="72" t="s">
        <v>868</v>
      </c>
      <c r="C11" s="585"/>
      <c r="D11" s="73" t="s">
        <v>346</v>
      </c>
      <c r="F11" s="57"/>
    </row>
    <row r="12" spans="1:7" ht="12.75">
      <c r="A12" s="425">
        <v>3</v>
      </c>
      <c r="B12" s="72" t="s">
        <v>995</v>
      </c>
      <c r="C12" s="585"/>
      <c r="D12" s="73" t="s">
        <v>336</v>
      </c>
      <c r="F12" s="57"/>
      <c r="G12" s="179"/>
    </row>
    <row r="13" spans="1:6" ht="12.75">
      <c r="A13" s="425">
        <v>4</v>
      </c>
      <c r="B13" s="72" t="s">
        <v>870</v>
      </c>
      <c r="C13" s="585"/>
      <c r="D13" s="316" t="s">
        <v>342</v>
      </c>
      <c r="F13" s="57"/>
    </row>
    <row r="14" spans="1:4" ht="13.5" thickBot="1">
      <c r="A14" s="425">
        <v>5</v>
      </c>
      <c r="B14" s="126" t="s">
        <v>601</v>
      </c>
      <c r="C14" s="606">
        <v>0.25</v>
      </c>
      <c r="D14" s="127" t="s">
        <v>593</v>
      </c>
    </row>
    <row r="15" spans="1:4" ht="13.5" thickBot="1">
      <c r="A15" s="466"/>
      <c r="B15" s="178"/>
      <c r="C15" s="82"/>
      <c r="D15" s="143"/>
    </row>
    <row r="16" spans="1:6" ht="12.75">
      <c r="A16" s="425">
        <v>6</v>
      </c>
      <c r="B16" s="195" t="s">
        <v>872</v>
      </c>
      <c r="C16" s="192">
        <f>12*VLOOKUP($C$10,$U$80:$V$150,2)</f>
        <v>12</v>
      </c>
      <c r="D16" s="144" t="s">
        <v>595</v>
      </c>
      <c r="E16" s="3"/>
      <c r="F16" s="181"/>
    </row>
    <row r="17" spans="1:6" ht="12.75">
      <c r="A17" s="425">
        <v>7</v>
      </c>
      <c r="B17" s="196" t="s">
        <v>594</v>
      </c>
      <c r="C17" s="193" t="e">
        <f>VLOOKUP($C$10,$U$80:$W$150,3)</f>
        <v>#DIV/0!</v>
      </c>
      <c r="D17" s="74" t="s">
        <v>596</v>
      </c>
      <c r="E17" s="3"/>
      <c r="F17" s="181"/>
    </row>
    <row r="18" spans="1:6" ht="12.75" hidden="1">
      <c r="A18" s="425"/>
      <c r="B18" s="84" t="s">
        <v>802</v>
      </c>
      <c r="C18" s="188">
        <v>2</v>
      </c>
      <c r="D18" s="74" t="s">
        <v>565</v>
      </c>
      <c r="E18" s="3"/>
      <c r="F18" s="181"/>
    </row>
    <row r="19" spans="1:6" ht="12.75">
      <c r="A19" s="425">
        <v>8</v>
      </c>
      <c r="B19" s="84" t="s">
        <v>345</v>
      </c>
      <c r="C19" s="634">
        <v>9</v>
      </c>
      <c r="D19" s="74" t="s">
        <v>574</v>
      </c>
      <c r="E19" s="3"/>
      <c r="F19" s="181"/>
    </row>
    <row r="20" spans="1:6" ht="13.5" thickBot="1">
      <c r="A20" s="425">
        <v>9</v>
      </c>
      <c r="B20" s="186" t="s">
        <v>248</v>
      </c>
      <c r="C20" s="94" t="e">
        <f>MAX(C19*60*C17,100)</f>
        <v>#DIV/0!</v>
      </c>
      <c r="D20" s="127" t="s">
        <v>560</v>
      </c>
      <c r="E20" s="34"/>
      <c r="F20" s="181"/>
    </row>
    <row r="21" spans="1:6" ht="13.5" thickBot="1">
      <c r="A21" s="466"/>
      <c r="B21" s="20"/>
      <c r="C21" s="191"/>
      <c r="D21" s="35"/>
      <c r="E21" s="34"/>
      <c r="F21" s="181"/>
    </row>
    <row r="22" spans="1:6" ht="12.75">
      <c r="A22" s="425">
        <v>10</v>
      </c>
      <c r="B22" s="96" t="s">
        <v>384</v>
      </c>
      <c r="C22" s="635"/>
      <c r="D22" s="144"/>
      <c r="E22" s="34"/>
      <c r="F22" s="181"/>
    </row>
    <row r="23" spans="1:6" ht="12.75">
      <c r="A23" s="425">
        <v>11</v>
      </c>
      <c r="B23" s="84" t="s">
        <v>265</v>
      </c>
      <c r="C23" s="636"/>
      <c r="D23" s="74" t="str">
        <f>IF(C22="Online","feet (for online systems, enter depth used to convey storms larger than the WQ event)","feet (for offline systems, enter WQf depth from Step 6 in feet)")</f>
        <v>feet (for offline systems, enter WQf depth from Step 6 in feet)</v>
      </c>
      <c r="E23" s="34"/>
      <c r="F23" s="181"/>
    </row>
    <row r="24" spans="1:6" ht="12.75">
      <c r="A24" s="425">
        <v>12</v>
      </c>
      <c r="B24" s="84" t="s">
        <v>232</v>
      </c>
      <c r="C24" s="187">
        <f>IF(C22="Online",0.5,0.25)</f>
        <v>0.25</v>
      </c>
      <c r="D24" s="74" t="s">
        <v>562</v>
      </c>
      <c r="E24" s="3"/>
      <c r="F24" s="181"/>
    </row>
    <row r="25" spans="1:6" ht="12.75">
      <c r="A25" s="425"/>
      <c r="B25" s="84" t="s">
        <v>597</v>
      </c>
      <c r="C25" s="187">
        <f>C23+C24</f>
        <v>0.25</v>
      </c>
      <c r="D25" s="74" t="s">
        <v>606</v>
      </c>
      <c r="E25" s="3"/>
      <c r="F25" s="181"/>
    </row>
    <row r="26" spans="1:6" ht="12.75">
      <c r="A26" s="425">
        <v>13</v>
      </c>
      <c r="B26" s="84" t="s">
        <v>602</v>
      </c>
      <c r="C26" s="187">
        <f>C11+C12*C25*2</f>
        <v>0</v>
      </c>
      <c r="D26" s="74" t="s">
        <v>635</v>
      </c>
      <c r="E26" s="3"/>
      <c r="F26" s="181"/>
    </row>
    <row r="27" spans="1:6" ht="12.75">
      <c r="A27" s="425">
        <v>14</v>
      </c>
      <c r="B27" s="146" t="s">
        <v>264</v>
      </c>
      <c r="C27" s="142" t="e">
        <f>C26*C20</f>
        <v>#DIV/0!</v>
      </c>
      <c r="D27" s="74" t="s">
        <v>208</v>
      </c>
      <c r="E27" s="3"/>
      <c r="F27" s="181"/>
    </row>
    <row r="28" spans="1:6" ht="14.25" hidden="1">
      <c r="A28" s="425"/>
      <c r="B28" s="84" t="s">
        <v>598</v>
      </c>
      <c r="C28" s="187">
        <f>C11*C23+C23^2*C12</f>
        <v>0</v>
      </c>
      <c r="D28" s="74" t="s">
        <v>375</v>
      </c>
      <c r="E28" s="3"/>
      <c r="F28" s="181"/>
    </row>
    <row r="29" spans="1:6" ht="12.75" hidden="1">
      <c r="A29" s="425"/>
      <c r="B29" s="84" t="s">
        <v>599</v>
      </c>
      <c r="C29" s="187">
        <f>C11+2*C23*(1+C12^2)^(0.5)</f>
        <v>0</v>
      </c>
      <c r="D29" s="74" t="s">
        <v>381</v>
      </c>
      <c r="E29" s="3"/>
      <c r="F29" s="181"/>
    </row>
    <row r="30" spans="1:6" ht="12.75">
      <c r="A30" s="425">
        <v>15</v>
      </c>
      <c r="B30" s="84" t="s">
        <v>600</v>
      </c>
      <c r="C30" s="637"/>
      <c r="D30" s="74" t="s">
        <v>263</v>
      </c>
      <c r="E30" s="34"/>
      <c r="F30" s="181"/>
    </row>
    <row r="31" spans="1:6" ht="12.75" hidden="1">
      <c r="A31" s="425"/>
      <c r="B31" s="84" t="s">
        <v>266</v>
      </c>
      <c r="C31" s="189" t="str">
        <f>IF(C22="Online",1.49/C30*(C28/C29)^(2/3)*(C13/100)^0.5,"N/A")</f>
        <v>N/A</v>
      </c>
      <c r="D31" s="74" t="s">
        <v>675</v>
      </c>
      <c r="E31" s="34"/>
      <c r="F31" s="181"/>
    </row>
    <row r="32" spans="1:6" ht="13.5" thickBot="1">
      <c r="A32" s="425">
        <v>16</v>
      </c>
      <c r="B32" s="126" t="s">
        <v>267</v>
      </c>
      <c r="C32" s="190" t="str">
        <f>IF($C$22="Online",$C$31*$C$28,"N/A")</f>
        <v>N/A</v>
      </c>
      <c r="D32" s="127" t="s">
        <v>561</v>
      </c>
      <c r="E32" s="3"/>
      <c r="F32" s="181"/>
    </row>
    <row r="33" spans="2:5" ht="12.75" hidden="1">
      <c r="B33" s="143" t="s">
        <v>32</v>
      </c>
      <c r="C33">
        <f>C10/0.9/0.2</f>
        <v>0</v>
      </c>
      <c r="D33" s="74" t="s">
        <v>227</v>
      </c>
      <c r="E33" s="3"/>
    </row>
    <row r="34" spans="2:3" ht="12.75" hidden="1">
      <c r="B34" s="35" t="s">
        <v>33</v>
      </c>
      <c r="C34" s="179" t="e">
        <f>C27/(C33*43560)</f>
        <v>#DIV/0!</v>
      </c>
    </row>
    <row r="35" spans="2:3" ht="12.75">
      <c r="B35" s="35"/>
      <c r="C35" s="179"/>
    </row>
    <row r="36" ht="12.75">
      <c r="A36" s="1" t="s">
        <v>663</v>
      </c>
    </row>
    <row r="37" ht="12.75">
      <c r="A37" s="44" t="s">
        <v>732</v>
      </c>
    </row>
    <row r="39" ht="12.75">
      <c r="A39" s="55" t="s">
        <v>584</v>
      </c>
    </row>
    <row r="40" spans="1:7" ht="12.75">
      <c r="A40" s="483">
        <v>1</v>
      </c>
      <c r="B40" s="729" t="s">
        <v>301</v>
      </c>
      <c r="C40" s="718"/>
      <c r="D40" s="718"/>
      <c r="E40" s="149"/>
      <c r="F40" s="209"/>
      <c r="G40" s="149"/>
    </row>
    <row r="41" spans="1:7" ht="12.75">
      <c r="A41" s="483">
        <v>2</v>
      </c>
      <c r="B41" s="148" t="s">
        <v>347</v>
      </c>
      <c r="C41" s="149"/>
      <c r="D41" s="149"/>
      <c r="E41" s="149"/>
      <c r="F41" s="209"/>
      <c r="G41" s="149"/>
    </row>
    <row r="42" spans="1:7" ht="12.75">
      <c r="A42" s="483">
        <v>3</v>
      </c>
      <c r="B42" s="148" t="s">
        <v>548</v>
      </c>
      <c r="C42" s="149"/>
      <c r="D42" s="149"/>
      <c r="E42" s="149"/>
      <c r="F42" s="209"/>
      <c r="G42" s="149"/>
    </row>
    <row r="43" spans="1:7" ht="28.5" customHeight="1">
      <c r="A43" s="483">
        <v>4</v>
      </c>
      <c r="B43" s="716" t="s">
        <v>919</v>
      </c>
      <c r="C43" s="717"/>
      <c r="D43" s="717"/>
      <c r="E43" s="413"/>
      <c r="F43" s="413"/>
      <c r="G43" s="149"/>
    </row>
    <row r="44" spans="1:7" ht="28.5" customHeight="1">
      <c r="A44" s="483">
        <v>5</v>
      </c>
      <c r="B44" s="717" t="s">
        <v>34</v>
      </c>
      <c r="C44" s="717"/>
      <c r="D44" s="717"/>
      <c r="E44" s="413"/>
      <c r="F44" s="413"/>
      <c r="G44" s="149"/>
    </row>
    <row r="45" spans="1:7" ht="12.75">
      <c r="A45" s="483">
        <v>6</v>
      </c>
      <c r="B45" s="718" t="s">
        <v>898</v>
      </c>
      <c r="C45" s="718"/>
      <c r="D45" s="718"/>
      <c r="E45" s="149"/>
      <c r="F45" s="209"/>
      <c r="G45" s="149"/>
    </row>
    <row r="46" spans="1:7" ht="12.75">
      <c r="A46" s="483">
        <v>7</v>
      </c>
      <c r="B46" s="148" t="s">
        <v>35</v>
      </c>
      <c r="C46" s="149"/>
      <c r="D46" s="149"/>
      <c r="E46" s="149"/>
      <c r="F46" s="209"/>
      <c r="G46" s="149"/>
    </row>
    <row r="47" spans="1:7" ht="27" customHeight="1">
      <c r="A47" s="483">
        <v>8</v>
      </c>
      <c r="B47" s="717" t="s">
        <v>1005</v>
      </c>
      <c r="C47" s="717"/>
      <c r="D47" s="717"/>
      <c r="E47" s="413"/>
      <c r="F47" s="413"/>
      <c r="G47" s="66"/>
    </row>
    <row r="48" spans="1:7" ht="12.75">
      <c r="A48" s="483">
        <v>9</v>
      </c>
      <c r="B48" s="148" t="s">
        <v>383</v>
      </c>
      <c r="C48" s="149"/>
      <c r="D48" s="149"/>
      <c r="E48" s="149"/>
      <c r="F48" s="209"/>
      <c r="G48" s="149"/>
    </row>
    <row r="49" spans="1:7" ht="27" customHeight="1">
      <c r="A49" s="483">
        <v>10</v>
      </c>
      <c r="B49" s="717" t="s">
        <v>570</v>
      </c>
      <c r="C49" s="717"/>
      <c r="D49" s="717"/>
      <c r="E49" s="413"/>
      <c r="F49" s="413"/>
      <c r="G49" s="208"/>
    </row>
    <row r="50" spans="1:7" ht="29.25" customHeight="1">
      <c r="A50" s="483">
        <v>11</v>
      </c>
      <c r="B50" s="717" t="s">
        <v>769</v>
      </c>
      <c r="C50" s="717"/>
      <c r="D50" s="717"/>
      <c r="E50" s="413"/>
      <c r="F50" s="413"/>
      <c r="G50" s="208"/>
    </row>
    <row r="51" spans="1:7" ht="12.75">
      <c r="A51" s="483">
        <v>12</v>
      </c>
      <c r="B51" s="729" t="s">
        <v>46</v>
      </c>
      <c r="C51" s="718"/>
      <c r="D51" s="718"/>
      <c r="E51" s="149"/>
      <c r="F51" s="209"/>
      <c r="G51" s="149"/>
    </row>
    <row r="52" spans="1:7" ht="12.75">
      <c r="A52" s="483">
        <v>13</v>
      </c>
      <c r="B52" s="148" t="s">
        <v>603</v>
      </c>
      <c r="C52" s="149"/>
      <c r="D52" s="149"/>
      <c r="E52" s="149"/>
      <c r="F52" s="209"/>
      <c r="G52" s="149"/>
    </row>
    <row r="53" spans="1:7" ht="12.75">
      <c r="A53" s="483">
        <v>14</v>
      </c>
      <c r="B53" s="148" t="s">
        <v>564</v>
      </c>
      <c r="C53" s="149"/>
      <c r="D53" s="149"/>
      <c r="E53" s="149"/>
      <c r="F53" s="209"/>
      <c r="G53" s="149"/>
    </row>
    <row r="54" spans="1:7" ht="27" customHeight="1">
      <c r="A54" s="483">
        <v>15</v>
      </c>
      <c r="B54" s="717" t="s">
        <v>31</v>
      </c>
      <c r="C54" s="717"/>
      <c r="D54" s="717"/>
      <c r="E54" s="413"/>
      <c r="F54" s="413"/>
      <c r="G54" s="208"/>
    </row>
    <row r="55" spans="1:7" ht="12.75">
      <c r="A55" s="483">
        <v>16</v>
      </c>
      <c r="B55" s="148" t="s">
        <v>770</v>
      </c>
      <c r="C55" s="149"/>
      <c r="D55" s="149"/>
      <c r="E55" s="149"/>
      <c r="F55" s="149"/>
      <c r="G55" s="149"/>
    </row>
    <row r="56" spans="2:7" ht="12.75">
      <c r="B56" s="148"/>
      <c r="C56" s="149"/>
      <c r="D56" s="149"/>
      <c r="E56" s="149"/>
      <c r="F56" s="149"/>
      <c r="G56" s="149"/>
    </row>
    <row r="57" spans="1:6" ht="12.75">
      <c r="A57" s="419" t="s">
        <v>664</v>
      </c>
      <c r="B57" s="35"/>
      <c r="F57"/>
    </row>
    <row r="58" spans="2:6" ht="24.75" customHeight="1">
      <c r="B58" s="386" t="s">
        <v>398</v>
      </c>
      <c r="C58" s="718" t="s">
        <v>300</v>
      </c>
      <c r="D58" s="718"/>
      <c r="E58" s="379"/>
      <c r="F58"/>
    </row>
    <row r="59" spans="2:6" ht="24.75" customHeight="1">
      <c r="B59" s="386" t="s">
        <v>429</v>
      </c>
      <c r="C59" s="736" t="s">
        <v>528</v>
      </c>
      <c r="D59" s="718"/>
      <c r="E59" s="379"/>
      <c r="F59"/>
    </row>
    <row r="60" spans="2:6" ht="12.75">
      <c r="B60" s="386" t="s">
        <v>868</v>
      </c>
      <c r="C60" s="148" t="s">
        <v>871</v>
      </c>
      <c r="D60" s="149"/>
      <c r="F60"/>
    </row>
    <row r="61" spans="2:6" ht="12.75">
      <c r="B61" s="386" t="s">
        <v>869</v>
      </c>
      <c r="C61" s="148" t="s">
        <v>214</v>
      </c>
      <c r="D61" s="149"/>
      <c r="F61"/>
    </row>
    <row r="62" spans="2:6" ht="12.75">
      <c r="B62" s="386" t="s">
        <v>870</v>
      </c>
      <c r="C62" s="148" t="s">
        <v>36</v>
      </c>
      <c r="D62" s="149"/>
      <c r="F62"/>
    </row>
    <row r="63" spans="2:6" ht="24" customHeight="1">
      <c r="B63" s="386" t="s">
        <v>283</v>
      </c>
      <c r="C63" s="729" t="s">
        <v>569</v>
      </c>
      <c r="D63" s="718"/>
      <c r="E63" s="379"/>
      <c r="F63"/>
    </row>
    <row r="64" spans="2:6" ht="24.75" customHeight="1">
      <c r="B64" s="386" t="s">
        <v>872</v>
      </c>
      <c r="C64" s="729" t="s">
        <v>638</v>
      </c>
      <c r="D64" s="718"/>
      <c r="E64" s="379"/>
      <c r="F64"/>
    </row>
    <row r="65" spans="2:6" ht="25.5" customHeight="1">
      <c r="B65" s="386" t="s">
        <v>639</v>
      </c>
      <c r="C65" s="729" t="s">
        <v>243</v>
      </c>
      <c r="D65" s="718"/>
      <c r="E65" s="379"/>
      <c r="F65"/>
    </row>
    <row r="66" spans="2:6" ht="12.75">
      <c r="B66" s="386" t="s">
        <v>350</v>
      </c>
      <c r="C66" s="148" t="s">
        <v>458</v>
      </c>
      <c r="D66" s="149"/>
      <c r="F66"/>
    </row>
    <row r="67" spans="2:6" ht="24.75" customHeight="1">
      <c r="B67" s="396" t="s">
        <v>43</v>
      </c>
      <c r="C67" s="723" t="s">
        <v>748</v>
      </c>
      <c r="D67" s="718"/>
      <c r="F67"/>
    </row>
    <row r="68" spans="2:6" ht="12.75">
      <c r="B68" s="396" t="s">
        <v>597</v>
      </c>
      <c r="C68" s="228" t="s">
        <v>485</v>
      </c>
      <c r="D68" s="149"/>
      <c r="F68"/>
    </row>
    <row r="69" spans="2:4" ht="12.75">
      <c r="B69" s="386" t="s">
        <v>207</v>
      </c>
      <c r="C69" s="148" t="s">
        <v>486</v>
      </c>
      <c r="D69" s="149"/>
    </row>
    <row r="70" spans="2:7" ht="28.5" customHeight="1">
      <c r="B70" s="386" t="s">
        <v>206</v>
      </c>
      <c r="C70" s="729" t="s">
        <v>244</v>
      </c>
      <c r="D70" s="718"/>
      <c r="E70" s="379"/>
      <c r="F70" s="379"/>
      <c r="G70" s="379"/>
    </row>
    <row r="71" spans="2:23" ht="15" customHeight="1">
      <c r="B71" s="386" t="s">
        <v>483</v>
      </c>
      <c r="C71" s="148" t="s">
        <v>484</v>
      </c>
      <c r="D71" s="149"/>
      <c r="W71" s="54" t="s">
        <v>648</v>
      </c>
    </row>
    <row r="72" spans="19:27" ht="12.75">
      <c r="S72" s="32"/>
      <c r="W72" s="55" t="s">
        <v>649</v>
      </c>
      <c r="Z72" s="7"/>
      <c r="AA72" s="32"/>
    </row>
    <row r="74" spans="22:25" ht="13.5" thickBot="1">
      <c r="V74" s="55" t="s">
        <v>650</v>
      </c>
      <c r="W74" s="55" t="s">
        <v>651</v>
      </c>
      <c r="X74" s="55" t="s">
        <v>141</v>
      </c>
      <c r="Y74" s="55" t="s">
        <v>652</v>
      </c>
    </row>
    <row r="75" spans="16:25" ht="13.5" thickBot="1">
      <c r="P75" s="57" t="s">
        <v>343</v>
      </c>
      <c r="Q75" s="57" t="s">
        <v>344</v>
      </c>
      <c r="V75" s="56">
        <f>C11</f>
        <v>0</v>
      </c>
      <c r="W75" s="56">
        <f>C12</f>
        <v>0</v>
      </c>
      <c r="X75" s="56">
        <f>C14</f>
        <v>0.25</v>
      </c>
      <c r="Y75" s="56">
        <f>C13/100</f>
        <v>0</v>
      </c>
    </row>
    <row r="76" spans="16:17" ht="12.75">
      <c r="P76" s="36">
        <v>0</v>
      </c>
      <c r="Q76" s="36">
        <v>9</v>
      </c>
    </row>
    <row r="77" spans="16:26" ht="12.75">
      <c r="P77" s="36">
        <v>0.25</v>
      </c>
      <c r="Q77" s="36">
        <v>9</v>
      </c>
      <c r="U77" s="55" t="s">
        <v>653</v>
      </c>
      <c r="V77" s="55" t="s">
        <v>654</v>
      </c>
      <c r="W77" s="55" t="s">
        <v>247</v>
      </c>
      <c r="X77" s="55" t="s">
        <v>216</v>
      </c>
      <c r="Y77" s="55" t="s">
        <v>655</v>
      </c>
      <c r="Z77" s="55" t="s">
        <v>656</v>
      </c>
    </row>
    <row r="78" spans="16:26" ht="12.75">
      <c r="P78" s="36">
        <v>0.5</v>
      </c>
      <c r="Q78" s="36">
        <v>8</v>
      </c>
      <c r="U78" s="36" t="s">
        <v>657</v>
      </c>
      <c r="V78" s="36" t="s">
        <v>658</v>
      </c>
      <c r="W78" s="57" t="s">
        <v>659</v>
      </c>
      <c r="X78" s="36" t="s">
        <v>660</v>
      </c>
      <c r="Y78" s="36" t="s">
        <v>658</v>
      </c>
      <c r="Z78" s="36" t="s">
        <v>658</v>
      </c>
    </row>
    <row r="79" spans="16:17" ht="12.75">
      <c r="P79" s="36">
        <f>P78+0.25</f>
        <v>0.75</v>
      </c>
      <c r="Q79" s="36">
        <v>8</v>
      </c>
    </row>
    <row r="80" spans="16:26" ht="12.75">
      <c r="P80" s="36">
        <v>1</v>
      </c>
      <c r="Q80" s="36">
        <v>7</v>
      </c>
      <c r="U80" s="58">
        <f aca="true" t="shared" si="0" ref="U80:U111">(1.49/X$75)*X80*(Z80^0.667)*(Y$75^0.5)</f>
        <v>0</v>
      </c>
      <c r="V80" s="59">
        <v>0.01</v>
      </c>
      <c r="W80" s="60" t="e">
        <f aca="true" t="shared" si="1" ref="W80:W87">U80/X80</f>
        <v>#DIV/0!</v>
      </c>
      <c r="X80" s="61">
        <f aca="true" t="shared" si="2" ref="X80:X111">V$75*(V80)+(W$75*(V80)^2)</f>
        <v>0</v>
      </c>
      <c r="Y80" s="59">
        <f aca="true" t="shared" si="3" ref="Y80:Y111">V$75+2*(V80)*(1+(W$75^2))^0.5</f>
        <v>0.02</v>
      </c>
      <c r="Z80" s="62">
        <f aca="true" t="shared" si="4" ref="Z80:Z87">X80/Y80</f>
        <v>0</v>
      </c>
    </row>
    <row r="81" spans="16:26" ht="12.75">
      <c r="P81" s="36">
        <v>1.5</v>
      </c>
      <c r="Q81" s="36">
        <v>7</v>
      </c>
      <c r="U81" s="58">
        <f t="shared" si="0"/>
        <v>0</v>
      </c>
      <c r="V81" s="59">
        <f>V80+0.01</f>
        <v>0.02</v>
      </c>
      <c r="W81" s="60" t="e">
        <f t="shared" si="1"/>
        <v>#DIV/0!</v>
      </c>
      <c r="X81" s="61">
        <f t="shared" si="2"/>
        <v>0</v>
      </c>
      <c r="Y81" s="59">
        <f t="shared" si="3"/>
        <v>0.04</v>
      </c>
      <c r="Z81" s="62">
        <f t="shared" si="4"/>
        <v>0</v>
      </c>
    </row>
    <row r="82" spans="16:26" ht="12.75">
      <c r="P82" s="36">
        <v>2</v>
      </c>
      <c r="Q82" s="36">
        <v>6</v>
      </c>
      <c r="U82" s="58">
        <f t="shared" si="0"/>
        <v>0</v>
      </c>
      <c r="V82" s="59">
        <f aca="true" t="shared" si="5" ref="V82:V145">V81+0.01</f>
        <v>0.03</v>
      </c>
      <c r="W82" s="60" t="e">
        <f t="shared" si="1"/>
        <v>#DIV/0!</v>
      </c>
      <c r="X82" s="61">
        <f t="shared" si="2"/>
        <v>0</v>
      </c>
      <c r="Y82" s="59">
        <f t="shared" si="3"/>
        <v>0.06</v>
      </c>
      <c r="Z82" s="62">
        <f t="shared" si="4"/>
        <v>0</v>
      </c>
    </row>
    <row r="83" spans="16:26" ht="12.75">
      <c r="P83" s="36">
        <v>2.5</v>
      </c>
      <c r="Q83" s="36">
        <v>6</v>
      </c>
      <c r="U83" s="58">
        <f t="shared" si="0"/>
        <v>0</v>
      </c>
      <c r="V83" s="59">
        <f t="shared" si="5"/>
        <v>0.04</v>
      </c>
      <c r="W83" s="60" t="e">
        <f t="shared" si="1"/>
        <v>#DIV/0!</v>
      </c>
      <c r="X83" s="61">
        <f t="shared" si="2"/>
        <v>0</v>
      </c>
      <c r="Y83" s="59">
        <f t="shared" si="3"/>
        <v>0.08</v>
      </c>
      <c r="Z83" s="62">
        <f t="shared" si="4"/>
        <v>0</v>
      </c>
    </row>
    <row r="84" spans="16:26" ht="12.75">
      <c r="P84" s="36">
        <v>3</v>
      </c>
      <c r="Q84" s="36">
        <v>5</v>
      </c>
      <c r="U84" s="58">
        <f t="shared" si="0"/>
        <v>0</v>
      </c>
      <c r="V84" s="59">
        <f>V83+0.01</f>
        <v>0.05</v>
      </c>
      <c r="W84" s="60" t="e">
        <f t="shared" si="1"/>
        <v>#DIV/0!</v>
      </c>
      <c r="X84" s="61">
        <f t="shared" si="2"/>
        <v>0</v>
      </c>
      <c r="Y84" s="59">
        <f t="shared" si="3"/>
        <v>0.1</v>
      </c>
      <c r="Z84" s="62">
        <f t="shared" si="4"/>
        <v>0</v>
      </c>
    </row>
    <row r="85" spans="16:26" ht="12.75">
      <c r="P85" s="36">
        <v>10</v>
      </c>
      <c r="Q85" s="36">
        <v>5</v>
      </c>
      <c r="U85" s="58">
        <f t="shared" si="0"/>
        <v>0</v>
      </c>
      <c r="V85" s="59">
        <f t="shared" si="5"/>
        <v>0.060000000000000005</v>
      </c>
      <c r="W85" s="60" t="e">
        <f t="shared" si="1"/>
        <v>#DIV/0!</v>
      </c>
      <c r="X85" s="61">
        <f t="shared" si="2"/>
        <v>0</v>
      </c>
      <c r="Y85" s="59">
        <f t="shared" si="3"/>
        <v>0.12000000000000001</v>
      </c>
      <c r="Z85" s="62">
        <f t="shared" si="4"/>
        <v>0</v>
      </c>
    </row>
    <row r="86" spans="21:26" ht="12.75">
      <c r="U86" s="58">
        <f t="shared" si="0"/>
        <v>0</v>
      </c>
      <c r="V86" s="59">
        <f t="shared" si="5"/>
        <v>0.07</v>
      </c>
      <c r="W86" s="60" t="e">
        <f t="shared" si="1"/>
        <v>#DIV/0!</v>
      </c>
      <c r="X86" s="61">
        <f t="shared" si="2"/>
        <v>0</v>
      </c>
      <c r="Y86" s="59">
        <f t="shared" si="3"/>
        <v>0.14</v>
      </c>
      <c r="Z86" s="62">
        <f t="shared" si="4"/>
        <v>0</v>
      </c>
    </row>
    <row r="87" spans="21:26" ht="12.75">
      <c r="U87" s="58">
        <f t="shared" si="0"/>
        <v>0</v>
      </c>
      <c r="V87" s="59">
        <f t="shared" si="5"/>
        <v>0.08</v>
      </c>
      <c r="W87" s="60" t="e">
        <f t="shared" si="1"/>
        <v>#DIV/0!</v>
      </c>
      <c r="X87" s="61">
        <f t="shared" si="2"/>
        <v>0</v>
      </c>
      <c r="Y87" s="59">
        <f t="shared" si="3"/>
        <v>0.16</v>
      </c>
      <c r="Z87" s="62">
        <f t="shared" si="4"/>
        <v>0</v>
      </c>
    </row>
    <row r="88" spans="21:26" ht="12.75">
      <c r="U88" s="58">
        <f t="shared" si="0"/>
        <v>0</v>
      </c>
      <c r="V88" s="59">
        <f t="shared" si="5"/>
        <v>0.09</v>
      </c>
      <c r="W88" s="60" t="e">
        <f aca="true" t="shared" si="6" ref="W88:W149">U88/X88</f>
        <v>#DIV/0!</v>
      </c>
      <c r="X88" s="61">
        <f t="shared" si="2"/>
        <v>0</v>
      </c>
      <c r="Y88" s="59">
        <f t="shared" si="3"/>
        <v>0.18</v>
      </c>
      <c r="Z88" s="62">
        <f aca="true" t="shared" si="7" ref="Z88:Z149">X88/Y88</f>
        <v>0</v>
      </c>
    </row>
    <row r="89" spans="21:26" ht="12.75">
      <c r="U89" s="58">
        <f t="shared" si="0"/>
        <v>0</v>
      </c>
      <c r="V89" s="59">
        <f t="shared" si="5"/>
        <v>0.09999999999999999</v>
      </c>
      <c r="W89" s="60" t="e">
        <f t="shared" si="6"/>
        <v>#DIV/0!</v>
      </c>
      <c r="X89" s="61">
        <f t="shared" si="2"/>
        <v>0</v>
      </c>
      <c r="Y89" s="59">
        <f t="shared" si="3"/>
        <v>0.19999999999999998</v>
      </c>
      <c r="Z89" s="62">
        <f t="shared" si="7"/>
        <v>0</v>
      </c>
    </row>
    <row r="90" spans="21:26" ht="12.75">
      <c r="U90" s="58">
        <f t="shared" si="0"/>
        <v>0</v>
      </c>
      <c r="V90" s="59">
        <f t="shared" si="5"/>
        <v>0.10999999999999999</v>
      </c>
      <c r="W90" s="60" t="e">
        <f t="shared" si="6"/>
        <v>#DIV/0!</v>
      </c>
      <c r="X90" s="61">
        <f t="shared" si="2"/>
        <v>0</v>
      </c>
      <c r="Y90" s="59">
        <f t="shared" si="3"/>
        <v>0.21999999999999997</v>
      </c>
      <c r="Z90" s="62">
        <f t="shared" si="7"/>
        <v>0</v>
      </c>
    </row>
    <row r="91" spans="21:26" ht="12.75">
      <c r="U91" s="58">
        <f t="shared" si="0"/>
        <v>0</v>
      </c>
      <c r="V91" s="59">
        <f t="shared" si="5"/>
        <v>0.11999999999999998</v>
      </c>
      <c r="W91" s="60" t="e">
        <f t="shared" si="6"/>
        <v>#DIV/0!</v>
      </c>
      <c r="X91" s="61">
        <f t="shared" si="2"/>
        <v>0</v>
      </c>
      <c r="Y91" s="59">
        <f t="shared" si="3"/>
        <v>0.23999999999999996</v>
      </c>
      <c r="Z91" s="62">
        <f t="shared" si="7"/>
        <v>0</v>
      </c>
    </row>
    <row r="92" spans="21:26" ht="12.75">
      <c r="U92" s="58">
        <f t="shared" si="0"/>
        <v>0</v>
      </c>
      <c r="V92" s="59">
        <f t="shared" si="5"/>
        <v>0.12999999999999998</v>
      </c>
      <c r="W92" s="60" t="e">
        <f t="shared" si="6"/>
        <v>#DIV/0!</v>
      </c>
      <c r="X92" s="61">
        <f t="shared" si="2"/>
        <v>0</v>
      </c>
      <c r="Y92" s="59">
        <f t="shared" si="3"/>
        <v>0.25999999999999995</v>
      </c>
      <c r="Z92" s="62">
        <f t="shared" si="7"/>
        <v>0</v>
      </c>
    </row>
    <row r="93" spans="21:26" ht="12.75">
      <c r="U93" s="58">
        <f t="shared" si="0"/>
        <v>0</v>
      </c>
      <c r="V93" s="59">
        <f t="shared" si="5"/>
        <v>0.13999999999999999</v>
      </c>
      <c r="W93" s="60" t="e">
        <f t="shared" si="6"/>
        <v>#DIV/0!</v>
      </c>
      <c r="X93" s="61">
        <f t="shared" si="2"/>
        <v>0</v>
      </c>
      <c r="Y93" s="59">
        <f t="shared" si="3"/>
        <v>0.27999999999999997</v>
      </c>
      <c r="Z93" s="62">
        <f t="shared" si="7"/>
        <v>0</v>
      </c>
    </row>
    <row r="94" spans="21:26" ht="12.75">
      <c r="U94" s="58">
        <f t="shared" si="0"/>
        <v>0</v>
      </c>
      <c r="V94" s="59">
        <f t="shared" si="5"/>
        <v>0.15</v>
      </c>
      <c r="W94" s="60" t="e">
        <f t="shared" si="6"/>
        <v>#DIV/0!</v>
      </c>
      <c r="X94" s="61">
        <f t="shared" si="2"/>
        <v>0</v>
      </c>
      <c r="Y94" s="59">
        <f t="shared" si="3"/>
        <v>0.3</v>
      </c>
      <c r="Z94" s="62">
        <f t="shared" si="7"/>
        <v>0</v>
      </c>
    </row>
    <row r="95" spans="21:26" ht="12.75">
      <c r="U95" s="58">
        <f t="shared" si="0"/>
        <v>0</v>
      </c>
      <c r="V95" s="59">
        <f t="shared" si="5"/>
        <v>0.16</v>
      </c>
      <c r="W95" s="60" t="e">
        <f t="shared" si="6"/>
        <v>#DIV/0!</v>
      </c>
      <c r="X95" s="61">
        <f t="shared" si="2"/>
        <v>0</v>
      </c>
      <c r="Y95" s="59">
        <f t="shared" si="3"/>
        <v>0.32</v>
      </c>
      <c r="Z95" s="62">
        <f t="shared" si="7"/>
        <v>0</v>
      </c>
    </row>
    <row r="96" spans="21:26" ht="12.75">
      <c r="U96" s="58">
        <f t="shared" si="0"/>
        <v>0</v>
      </c>
      <c r="V96" s="59">
        <f t="shared" si="5"/>
        <v>0.17</v>
      </c>
      <c r="W96" s="60" t="e">
        <f t="shared" si="6"/>
        <v>#DIV/0!</v>
      </c>
      <c r="X96" s="61">
        <f t="shared" si="2"/>
        <v>0</v>
      </c>
      <c r="Y96" s="59">
        <f t="shared" si="3"/>
        <v>0.34</v>
      </c>
      <c r="Z96" s="62">
        <f t="shared" si="7"/>
        <v>0</v>
      </c>
    </row>
    <row r="97" spans="21:26" ht="12.75">
      <c r="U97" s="58">
        <f t="shared" si="0"/>
        <v>0</v>
      </c>
      <c r="V97" s="59">
        <f t="shared" si="5"/>
        <v>0.18000000000000002</v>
      </c>
      <c r="W97" s="60" t="e">
        <f t="shared" si="6"/>
        <v>#DIV/0!</v>
      </c>
      <c r="X97" s="61">
        <f t="shared" si="2"/>
        <v>0</v>
      </c>
      <c r="Y97" s="59">
        <f t="shared" si="3"/>
        <v>0.36000000000000004</v>
      </c>
      <c r="Z97" s="62">
        <f t="shared" si="7"/>
        <v>0</v>
      </c>
    </row>
    <row r="98" spans="21:26" ht="12.75">
      <c r="U98" s="58">
        <f t="shared" si="0"/>
        <v>0</v>
      </c>
      <c r="V98" s="59">
        <f t="shared" si="5"/>
        <v>0.19000000000000003</v>
      </c>
      <c r="W98" s="60" t="e">
        <f t="shared" si="6"/>
        <v>#DIV/0!</v>
      </c>
      <c r="X98" s="61">
        <f t="shared" si="2"/>
        <v>0</v>
      </c>
      <c r="Y98" s="59">
        <f t="shared" si="3"/>
        <v>0.38000000000000006</v>
      </c>
      <c r="Z98" s="62">
        <f t="shared" si="7"/>
        <v>0</v>
      </c>
    </row>
    <row r="99" spans="21:26" ht="12.75">
      <c r="U99" s="58">
        <f t="shared" si="0"/>
        <v>0</v>
      </c>
      <c r="V99" s="59">
        <f t="shared" si="5"/>
        <v>0.20000000000000004</v>
      </c>
      <c r="W99" s="60" t="e">
        <f t="shared" si="6"/>
        <v>#DIV/0!</v>
      </c>
      <c r="X99" s="61">
        <f t="shared" si="2"/>
        <v>0</v>
      </c>
      <c r="Y99" s="59">
        <f t="shared" si="3"/>
        <v>0.4000000000000001</v>
      </c>
      <c r="Z99" s="62">
        <f t="shared" si="7"/>
        <v>0</v>
      </c>
    </row>
    <row r="100" spans="21:26" ht="12.75">
      <c r="U100" s="58">
        <f t="shared" si="0"/>
        <v>0</v>
      </c>
      <c r="V100" s="59">
        <f t="shared" si="5"/>
        <v>0.21000000000000005</v>
      </c>
      <c r="W100" s="60" t="e">
        <f t="shared" si="6"/>
        <v>#DIV/0!</v>
      </c>
      <c r="X100" s="61">
        <f t="shared" si="2"/>
        <v>0</v>
      </c>
      <c r="Y100" s="59">
        <f t="shared" si="3"/>
        <v>0.4200000000000001</v>
      </c>
      <c r="Z100" s="62">
        <f t="shared" si="7"/>
        <v>0</v>
      </c>
    </row>
    <row r="101" spans="21:26" ht="12.75">
      <c r="U101" s="58">
        <f t="shared" si="0"/>
        <v>0</v>
      </c>
      <c r="V101" s="59">
        <f t="shared" si="5"/>
        <v>0.22000000000000006</v>
      </c>
      <c r="W101" s="60" t="e">
        <f t="shared" si="6"/>
        <v>#DIV/0!</v>
      </c>
      <c r="X101" s="61">
        <f t="shared" si="2"/>
        <v>0</v>
      </c>
      <c r="Y101" s="59">
        <f t="shared" si="3"/>
        <v>0.4400000000000001</v>
      </c>
      <c r="Z101" s="62">
        <f t="shared" si="7"/>
        <v>0</v>
      </c>
    </row>
    <row r="102" spans="21:26" ht="12.75">
      <c r="U102" s="58">
        <f t="shared" si="0"/>
        <v>0</v>
      </c>
      <c r="V102" s="59">
        <f t="shared" si="5"/>
        <v>0.23000000000000007</v>
      </c>
      <c r="W102" s="60" t="e">
        <f t="shared" si="6"/>
        <v>#DIV/0!</v>
      </c>
      <c r="X102" s="61">
        <f t="shared" si="2"/>
        <v>0</v>
      </c>
      <c r="Y102" s="59">
        <f t="shared" si="3"/>
        <v>0.46000000000000013</v>
      </c>
      <c r="Z102" s="62">
        <f t="shared" si="7"/>
        <v>0</v>
      </c>
    </row>
    <row r="103" spans="21:26" ht="12.75">
      <c r="U103" s="58">
        <f t="shared" si="0"/>
        <v>0</v>
      </c>
      <c r="V103" s="59">
        <f t="shared" si="5"/>
        <v>0.24000000000000007</v>
      </c>
      <c r="W103" s="60" t="e">
        <f t="shared" si="6"/>
        <v>#DIV/0!</v>
      </c>
      <c r="X103" s="61">
        <f t="shared" si="2"/>
        <v>0</v>
      </c>
      <c r="Y103" s="59">
        <f t="shared" si="3"/>
        <v>0.48000000000000015</v>
      </c>
      <c r="Z103" s="62">
        <f t="shared" si="7"/>
        <v>0</v>
      </c>
    </row>
    <row r="104" spans="21:26" ht="12.75">
      <c r="U104" s="58">
        <f t="shared" si="0"/>
        <v>0</v>
      </c>
      <c r="V104" s="59">
        <f t="shared" si="5"/>
        <v>0.25000000000000006</v>
      </c>
      <c r="W104" s="60" t="e">
        <f t="shared" si="6"/>
        <v>#DIV/0!</v>
      </c>
      <c r="X104" s="61">
        <f t="shared" si="2"/>
        <v>0</v>
      </c>
      <c r="Y104" s="59">
        <f t="shared" si="3"/>
        <v>0.5000000000000001</v>
      </c>
      <c r="Z104" s="62">
        <f t="shared" si="7"/>
        <v>0</v>
      </c>
    </row>
    <row r="105" spans="21:26" ht="12.75">
      <c r="U105" s="58">
        <f t="shared" si="0"/>
        <v>0</v>
      </c>
      <c r="V105" s="59">
        <f t="shared" si="5"/>
        <v>0.26000000000000006</v>
      </c>
      <c r="W105" s="60" t="e">
        <f t="shared" si="6"/>
        <v>#DIV/0!</v>
      </c>
      <c r="X105" s="61">
        <f t="shared" si="2"/>
        <v>0</v>
      </c>
      <c r="Y105" s="59">
        <f t="shared" si="3"/>
        <v>0.5200000000000001</v>
      </c>
      <c r="Z105" s="62">
        <f t="shared" si="7"/>
        <v>0</v>
      </c>
    </row>
    <row r="106" spans="21:26" ht="12.75">
      <c r="U106" s="58">
        <f t="shared" si="0"/>
        <v>0</v>
      </c>
      <c r="V106" s="59">
        <f t="shared" si="5"/>
        <v>0.2700000000000001</v>
      </c>
      <c r="W106" s="60" t="e">
        <f t="shared" si="6"/>
        <v>#DIV/0!</v>
      </c>
      <c r="X106" s="61">
        <f t="shared" si="2"/>
        <v>0</v>
      </c>
      <c r="Y106" s="59">
        <f t="shared" si="3"/>
        <v>0.5400000000000001</v>
      </c>
      <c r="Z106" s="62">
        <f t="shared" si="7"/>
        <v>0</v>
      </c>
    </row>
    <row r="107" spans="21:26" ht="12.75">
      <c r="U107" s="58">
        <f t="shared" si="0"/>
        <v>0</v>
      </c>
      <c r="V107" s="59">
        <f t="shared" si="5"/>
        <v>0.2800000000000001</v>
      </c>
      <c r="W107" s="60" t="e">
        <f t="shared" si="6"/>
        <v>#DIV/0!</v>
      </c>
      <c r="X107" s="61">
        <f t="shared" si="2"/>
        <v>0</v>
      </c>
      <c r="Y107" s="59">
        <f t="shared" si="3"/>
        <v>0.5600000000000002</v>
      </c>
      <c r="Z107" s="62">
        <f t="shared" si="7"/>
        <v>0</v>
      </c>
    </row>
    <row r="108" spans="21:26" ht="12.75">
      <c r="U108" s="58">
        <f t="shared" si="0"/>
        <v>0</v>
      </c>
      <c r="V108" s="59">
        <f t="shared" si="5"/>
        <v>0.2900000000000001</v>
      </c>
      <c r="W108" s="60" t="e">
        <f t="shared" si="6"/>
        <v>#DIV/0!</v>
      </c>
      <c r="X108" s="61">
        <f t="shared" si="2"/>
        <v>0</v>
      </c>
      <c r="Y108" s="59">
        <f t="shared" si="3"/>
        <v>0.5800000000000002</v>
      </c>
      <c r="Z108" s="62">
        <f t="shared" si="7"/>
        <v>0</v>
      </c>
    </row>
    <row r="109" spans="21:26" ht="12.75">
      <c r="U109" s="58">
        <f t="shared" si="0"/>
        <v>0</v>
      </c>
      <c r="V109" s="59">
        <f t="shared" si="5"/>
        <v>0.3000000000000001</v>
      </c>
      <c r="W109" s="60" t="e">
        <f t="shared" si="6"/>
        <v>#DIV/0!</v>
      </c>
      <c r="X109" s="61">
        <f t="shared" si="2"/>
        <v>0</v>
      </c>
      <c r="Y109" s="59">
        <f t="shared" si="3"/>
        <v>0.6000000000000002</v>
      </c>
      <c r="Z109" s="62">
        <f t="shared" si="7"/>
        <v>0</v>
      </c>
    </row>
    <row r="110" spans="21:26" ht="12.75">
      <c r="U110" s="58">
        <f t="shared" si="0"/>
        <v>0</v>
      </c>
      <c r="V110" s="59">
        <f t="shared" si="5"/>
        <v>0.3100000000000001</v>
      </c>
      <c r="W110" s="60" t="e">
        <f t="shared" si="6"/>
        <v>#DIV/0!</v>
      </c>
      <c r="X110" s="61">
        <f t="shared" si="2"/>
        <v>0</v>
      </c>
      <c r="Y110" s="59">
        <f t="shared" si="3"/>
        <v>0.6200000000000002</v>
      </c>
      <c r="Z110" s="62">
        <f t="shared" si="7"/>
        <v>0</v>
      </c>
    </row>
    <row r="111" spans="21:26" ht="12.75">
      <c r="U111" s="58">
        <f t="shared" si="0"/>
        <v>0</v>
      </c>
      <c r="V111" s="59">
        <f t="shared" si="5"/>
        <v>0.3200000000000001</v>
      </c>
      <c r="W111" s="60" t="e">
        <f t="shared" si="6"/>
        <v>#DIV/0!</v>
      </c>
      <c r="X111" s="61">
        <f t="shared" si="2"/>
        <v>0</v>
      </c>
      <c r="Y111" s="59">
        <f t="shared" si="3"/>
        <v>0.6400000000000002</v>
      </c>
      <c r="Z111" s="62">
        <f t="shared" si="7"/>
        <v>0</v>
      </c>
    </row>
    <row r="112" spans="21:26" ht="12.75">
      <c r="U112" s="58">
        <f aca="true" t="shared" si="8" ref="U112:U143">(1.49/X$75)*X112*(Z112^0.667)*(Y$75^0.5)</f>
        <v>0</v>
      </c>
      <c r="V112" s="59">
        <f t="shared" si="5"/>
        <v>0.3300000000000001</v>
      </c>
      <c r="W112" s="60" t="e">
        <f t="shared" si="6"/>
        <v>#DIV/0!</v>
      </c>
      <c r="X112" s="61">
        <f aca="true" t="shared" si="9" ref="X112:X143">V$75*(V112)+(W$75*(V112)^2)</f>
        <v>0</v>
      </c>
      <c r="Y112" s="59">
        <f aca="true" t="shared" si="10" ref="Y112:Y143">V$75+2*(V112)*(1+(W$75^2))^0.5</f>
        <v>0.6600000000000003</v>
      </c>
      <c r="Z112" s="62">
        <f t="shared" si="7"/>
        <v>0</v>
      </c>
    </row>
    <row r="113" spans="21:26" ht="12.75">
      <c r="U113" s="58">
        <f t="shared" si="8"/>
        <v>0</v>
      </c>
      <c r="V113" s="59">
        <f t="shared" si="5"/>
        <v>0.34000000000000014</v>
      </c>
      <c r="W113" s="60" t="e">
        <f t="shared" si="6"/>
        <v>#DIV/0!</v>
      </c>
      <c r="X113" s="61">
        <f t="shared" si="9"/>
        <v>0</v>
      </c>
      <c r="Y113" s="59">
        <f t="shared" si="10"/>
        <v>0.6800000000000003</v>
      </c>
      <c r="Z113" s="62">
        <f t="shared" si="7"/>
        <v>0</v>
      </c>
    </row>
    <row r="114" spans="21:26" ht="12.75">
      <c r="U114" s="58">
        <f t="shared" si="8"/>
        <v>0</v>
      </c>
      <c r="V114" s="59">
        <f t="shared" si="5"/>
        <v>0.35000000000000014</v>
      </c>
      <c r="W114" s="60" t="e">
        <f t="shared" si="6"/>
        <v>#DIV/0!</v>
      </c>
      <c r="X114" s="61">
        <f t="shared" si="9"/>
        <v>0</v>
      </c>
      <c r="Y114" s="59">
        <f t="shared" si="10"/>
        <v>0.7000000000000003</v>
      </c>
      <c r="Z114" s="62">
        <f t="shared" si="7"/>
        <v>0</v>
      </c>
    </row>
    <row r="115" spans="21:26" ht="12.75">
      <c r="U115" s="58">
        <f t="shared" si="8"/>
        <v>0</v>
      </c>
      <c r="V115" s="59">
        <f t="shared" si="5"/>
        <v>0.36000000000000015</v>
      </c>
      <c r="W115" s="60" t="e">
        <f t="shared" si="6"/>
        <v>#DIV/0!</v>
      </c>
      <c r="X115" s="61">
        <f t="shared" si="9"/>
        <v>0</v>
      </c>
      <c r="Y115" s="59">
        <f t="shared" si="10"/>
        <v>0.7200000000000003</v>
      </c>
      <c r="Z115" s="62">
        <f t="shared" si="7"/>
        <v>0</v>
      </c>
    </row>
    <row r="116" spans="21:26" ht="12.75">
      <c r="U116" s="58">
        <f t="shared" si="8"/>
        <v>0</v>
      </c>
      <c r="V116" s="59">
        <f t="shared" si="5"/>
        <v>0.37000000000000016</v>
      </c>
      <c r="W116" s="60" t="e">
        <f t="shared" si="6"/>
        <v>#DIV/0!</v>
      </c>
      <c r="X116" s="61">
        <f t="shared" si="9"/>
        <v>0</v>
      </c>
      <c r="Y116" s="59">
        <f t="shared" si="10"/>
        <v>0.7400000000000003</v>
      </c>
      <c r="Z116" s="62">
        <f t="shared" si="7"/>
        <v>0</v>
      </c>
    </row>
    <row r="117" spans="21:26" ht="12.75">
      <c r="U117" s="58">
        <f t="shared" si="8"/>
        <v>0</v>
      </c>
      <c r="V117" s="59">
        <f t="shared" si="5"/>
        <v>0.38000000000000017</v>
      </c>
      <c r="W117" s="60" t="e">
        <f t="shared" si="6"/>
        <v>#DIV/0!</v>
      </c>
      <c r="X117" s="61">
        <f t="shared" si="9"/>
        <v>0</v>
      </c>
      <c r="Y117" s="59">
        <f t="shared" si="10"/>
        <v>0.7600000000000003</v>
      </c>
      <c r="Z117" s="62">
        <f t="shared" si="7"/>
        <v>0</v>
      </c>
    </row>
    <row r="118" spans="21:26" ht="12.75">
      <c r="U118" s="58">
        <f t="shared" si="8"/>
        <v>0</v>
      </c>
      <c r="V118" s="59">
        <f t="shared" si="5"/>
        <v>0.3900000000000002</v>
      </c>
      <c r="W118" s="60" t="e">
        <f t="shared" si="6"/>
        <v>#DIV/0!</v>
      </c>
      <c r="X118" s="61">
        <f t="shared" si="9"/>
        <v>0</v>
      </c>
      <c r="Y118" s="59">
        <f t="shared" si="10"/>
        <v>0.7800000000000004</v>
      </c>
      <c r="Z118" s="62">
        <f t="shared" si="7"/>
        <v>0</v>
      </c>
    </row>
    <row r="119" spans="21:26" ht="12.75">
      <c r="U119" s="58">
        <f t="shared" si="8"/>
        <v>0</v>
      </c>
      <c r="V119" s="59">
        <f t="shared" si="5"/>
        <v>0.4000000000000002</v>
      </c>
      <c r="W119" s="60" t="e">
        <f t="shared" si="6"/>
        <v>#DIV/0!</v>
      </c>
      <c r="X119" s="61">
        <f t="shared" si="9"/>
        <v>0</v>
      </c>
      <c r="Y119" s="59">
        <f t="shared" si="10"/>
        <v>0.8000000000000004</v>
      </c>
      <c r="Z119" s="62">
        <f t="shared" si="7"/>
        <v>0</v>
      </c>
    </row>
    <row r="120" spans="21:26" ht="12.75">
      <c r="U120" s="58">
        <f t="shared" si="8"/>
        <v>0</v>
      </c>
      <c r="V120" s="59">
        <f t="shared" si="5"/>
        <v>0.4100000000000002</v>
      </c>
      <c r="W120" s="60" t="e">
        <f t="shared" si="6"/>
        <v>#DIV/0!</v>
      </c>
      <c r="X120" s="61">
        <f t="shared" si="9"/>
        <v>0</v>
      </c>
      <c r="Y120" s="59">
        <f t="shared" si="10"/>
        <v>0.8200000000000004</v>
      </c>
      <c r="Z120" s="62">
        <f t="shared" si="7"/>
        <v>0</v>
      </c>
    </row>
    <row r="121" spans="21:26" ht="12.75">
      <c r="U121" s="58">
        <f t="shared" si="8"/>
        <v>0</v>
      </c>
      <c r="V121" s="59">
        <f t="shared" si="5"/>
        <v>0.4200000000000002</v>
      </c>
      <c r="W121" s="60" t="e">
        <f t="shared" si="6"/>
        <v>#DIV/0!</v>
      </c>
      <c r="X121" s="61">
        <f t="shared" si="9"/>
        <v>0</v>
      </c>
      <c r="Y121" s="59">
        <f t="shared" si="10"/>
        <v>0.8400000000000004</v>
      </c>
      <c r="Z121" s="62">
        <f t="shared" si="7"/>
        <v>0</v>
      </c>
    </row>
    <row r="122" spans="21:26" ht="12.75">
      <c r="U122" s="58">
        <f t="shared" si="8"/>
        <v>0</v>
      </c>
      <c r="V122" s="59">
        <f t="shared" si="5"/>
        <v>0.4300000000000002</v>
      </c>
      <c r="W122" s="60" t="e">
        <f t="shared" si="6"/>
        <v>#DIV/0!</v>
      </c>
      <c r="X122" s="61">
        <f t="shared" si="9"/>
        <v>0</v>
      </c>
      <c r="Y122" s="59">
        <f t="shared" si="10"/>
        <v>0.8600000000000004</v>
      </c>
      <c r="Z122" s="62">
        <f t="shared" si="7"/>
        <v>0</v>
      </c>
    </row>
    <row r="123" spans="21:26" ht="12.75">
      <c r="U123" s="58">
        <f t="shared" si="8"/>
        <v>0</v>
      </c>
      <c r="V123" s="59">
        <f t="shared" si="5"/>
        <v>0.4400000000000002</v>
      </c>
      <c r="W123" s="60" t="e">
        <f t="shared" si="6"/>
        <v>#DIV/0!</v>
      </c>
      <c r="X123" s="61">
        <f t="shared" si="9"/>
        <v>0</v>
      </c>
      <c r="Y123" s="59">
        <f t="shared" si="10"/>
        <v>0.8800000000000004</v>
      </c>
      <c r="Z123" s="62">
        <f t="shared" si="7"/>
        <v>0</v>
      </c>
    </row>
    <row r="124" spans="21:26" ht="12.75">
      <c r="U124" s="58">
        <f t="shared" si="8"/>
        <v>0</v>
      </c>
      <c r="V124" s="59">
        <f t="shared" si="5"/>
        <v>0.45000000000000023</v>
      </c>
      <c r="W124" s="60" t="e">
        <f t="shared" si="6"/>
        <v>#DIV/0!</v>
      </c>
      <c r="X124" s="61">
        <f t="shared" si="9"/>
        <v>0</v>
      </c>
      <c r="Y124" s="59">
        <f t="shared" si="10"/>
        <v>0.9000000000000005</v>
      </c>
      <c r="Z124" s="62">
        <f t="shared" si="7"/>
        <v>0</v>
      </c>
    </row>
    <row r="125" spans="21:26" ht="12.75">
      <c r="U125" s="58">
        <f t="shared" si="8"/>
        <v>0</v>
      </c>
      <c r="V125" s="59">
        <f t="shared" si="5"/>
        <v>0.46000000000000024</v>
      </c>
      <c r="W125" s="60" t="e">
        <f t="shared" si="6"/>
        <v>#DIV/0!</v>
      </c>
      <c r="X125" s="61">
        <f t="shared" si="9"/>
        <v>0</v>
      </c>
      <c r="Y125" s="59">
        <f t="shared" si="10"/>
        <v>0.9200000000000005</v>
      </c>
      <c r="Z125" s="62">
        <f t="shared" si="7"/>
        <v>0</v>
      </c>
    </row>
    <row r="126" spans="21:26" ht="12.75">
      <c r="U126" s="58">
        <f t="shared" si="8"/>
        <v>0</v>
      </c>
      <c r="V126" s="59">
        <f t="shared" si="5"/>
        <v>0.47000000000000025</v>
      </c>
      <c r="W126" s="60" t="e">
        <f t="shared" si="6"/>
        <v>#DIV/0!</v>
      </c>
      <c r="X126" s="61">
        <f t="shared" si="9"/>
        <v>0</v>
      </c>
      <c r="Y126" s="59">
        <f t="shared" si="10"/>
        <v>0.9400000000000005</v>
      </c>
      <c r="Z126" s="62">
        <f t="shared" si="7"/>
        <v>0</v>
      </c>
    </row>
    <row r="127" spans="21:26" ht="12.75">
      <c r="U127" s="58">
        <f t="shared" si="8"/>
        <v>0</v>
      </c>
      <c r="V127" s="59">
        <f t="shared" si="5"/>
        <v>0.48000000000000026</v>
      </c>
      <c r="W127" s="60" t="e">
        <f t="shared" si="6"/>
        <v>#DIV/0!</v>
      </c>
      <c r="X127" s="61">
        <f t="shared" si="9"/>
        <v>0</v>
      </c>
      <c r="Y127" s="59">
        <f t="shared" si="10"/>
        <v>0.9600000000000005</v>
      </c>
      <c r="Z127" s="62">
        <f t="shared" si="7"/>
        <v>0</v>
      </c>
    </row>
    <row r="128" spans="21:26" ht="12.75">
      <c r="U128" s="58">
        <f t="shared" si="8"/>
        <v>0</v>
      </c>
      <c r="V128" s="59">
        <f t="shared" si="5"/>
        <v>0.49000000000000027</v>
      </c>
      <c r="W128" s="60" t="e">
        <f t="shared" si="6"/>
        <v>#DIV/0!</v>
      </c>
      <c r="X128" s="61">
        <f t="shared" si="9"/>
        <v>0</v>
      </c>
      <c r="Y128" s="59">
        <f t="shared" si="10"/>
        <v>0.9800000000000005</v>
      </c>
      <c r="Z128" s="62">
        <f t="shared" si="7"/>
        <v>0</v>
      </c>
    </row>
    <row r="129" spans="21:26" ht="12.75">
      <c r="U129" s="58">
        <f t="shared" si="8"/>
        <v>0</v>
      </c>
      <c r="V129" s="59">
        <f t="shared" si="5"/>
        <v>0.5000000000000002</v>
      </c>
      <c r="W129" s="60" t="e">
        <f t="shared" si="6"/>
        <v>#DIV/0!</v>
      </c>
      <c r="X129" s="61">
        <f t="shared" si="9"/>
        <v>0</v>
      </c>
      <c r="Y129" s="59">
        <f t="shared" si="10"/>
        <v>1.0000000000000004</v>
      </c>
      <c r="Z129" s="62">
        <f t="shared" si="7"/>
        <v>0</v>
      </c>
    </row>
    <row r="130" spans="21:26" ht="12.75">
      <c r="U130" s="58">
        <f t="shared" si="8"/>
        <v>0</v>
      </c>
      <c r="V130" s="59">
        <f t="shared" si="5"/>
        <v>0.5100000000000002</v>
      </c>
      <c r="W130" s="60" t="e">
        <f t="shared" si="6"/>
        <v>#DIV/0!</v>
      </c>
      <c r="X130" s="61">
        <f t="shared" si="9"/>
        <v>0</v>
      </c>
      <c r="Y130" s="59">
        <f t="shared" si="10"/>
        <v>1.0200000000000005</v>
      </c>
      <c r="Z130" s="62">
        <f t="shared" si="7"/>
        <v>0</v>
      </c>
    </row>
    <row r="131" spans="21:26" ht="12.75">
      <c r="U131" s="58">
        <f t="shared" si="8"/>
        <v>0</v>
      </c>
      <c r="V131" s="59">
        <f t="shared" si="5"/>
        <v>0.5200000000000002</v>
      </c>
      <c r="W131" s="60" t="e">
        <f t="shared" si="6"/>
        <v>#DIV/0!</v>
      </c>
      <c r="X131" s="61">
        <f t="shared" si="9"/>
        <v>0</v>
      </c>
      <c r="Y131" s="59">
        <f t="shared" si="10"/>
        <v>1.0400000000000005</v>
      </c>
      <c r="Z131" s="62">
        <f t="shared" si="7"/>
        <v>0</v>
      </c>
    </row>
    <row r="132" spans="21:26" ht="12.75">
      <c r="U132" s="58">
        <f t="shared" si="8"/>
        <v>0</v>
      </c>
      <c r="V132" s="59">
        <f t="shared" si="5"/>
        <v>0.5300000000000002</v>
      </c>
      <c r="W132" s="60" t="e">
        <f t="shared" si="6"/>
        <v>#DIV/0!</v>
      </c>
      <c r="X132" s="61">
        <f t="shared" si="9"/>
        <v>0</v>
      </c>
      <c r="Y132" s="59">
        <f t="shared" si="10"/>
        <v>1.0600000000000005</v>
      </c>
      <c r="Z132" s="62">
        <f t="shared" si="7"/>
        <v>0</v>
      </c>
    </row>
    <row r="133" spans="21:26" ht="12.75">
      <c r="U133" s="58">
        <f t="shared" si="8"/>
        <v>0</v>
      </c>
      <c r="V133" s="59">
        <f t="shared" si="5"/>
        <v>0.5400000000000003</v>
      </c>
      <c r="W133" s="60" t="e">
        <f t="shared" si="6"/>
        <v>#DIV/0!</v>
      </c>
      <c r="X133" s="61">
        <f t="shared" si="9"/>
        <v>0</v>
      </c>
      <c r="Y133" s="59">
        <f t="shared" si="10"/>
        <v>1.0800000000000005</v>
      </c>
      <c r="Z133" s="62">
        <f t="shared" si="7"/>
        <v>0</v>
      </c>
    </row>
    <row r="134" spans="21:26" ht="12.75">
      <c r="U134" s="58">
        <f t="shared" si="8"/>
        <v>0</v>
      </c>
      <c r="V134" s="59">
        <f t="shared" si="5"/>
        <v>0.5500000000000003</v>
      </c>
      <c r="W134" s="60" t="e">
        <f t="shared" si="6"/>
        <v>#DIV/0!</v>
      </c>
      <c r="X134" s="61">
        <f t="shared" si="9"/>
        <v>0</v>
      </c>
      <c r="Y134" s="59">
        <f t="shared" si="10"/>
        <v>1.1000000000000005</v>
      </c>
      <c r="Z134" s="62">
        <f t="shared" si="7"/>
        <v>0</v>
      </c>
    </row>
    <row r="135" spans="21:26" ht="12.75">
      <c r="U135" s="58">
        <f t="shared" si="8"/>
        <v>0</v>
      </c>
      <c r="V135" s="59">
        <f t="shared" si="5"/>
        <v>0.5600000000000003</v>
      </c>
      <c r="W135" s="60" t="e">
        <f t="shared" si="6"/>
        <v>#DIV/0!</v>
      </c>
      <c r="X135" s="61">
        <f t="shared" si="9"/>
        <v>0</v>
      </c>
      <c r="Y135" s="59">
        <f t="shared" si="10"/>
        <v>1.1200000000000006</v>
      </c>
      <c r="Z135" s="62">
        <f t="shared" si="7"/>
        <v>0</v>
      </c>
    </row>
    <row r="136" spans="21:26" ht="12.75">
      <c r="U136" s="58">
        <f t="shared" si="8"/>
        <v>0</v>
      </c>
      <c r="V136" s="59">
        <f t="shared" si="5"/>
        <v>0.5700000000000003</v>
      </c>
      <c r="W136" s="60" t="e">
        <f t="shared" si="6"/>
        <v>#DIV/0!</v>
      </c>
      <c r="X136" s="61">
        <f t="shared" si="9"/>
        <v>0</v>
      </c>
      <c r="Y136" s="59">
        <f t="shared" si="10"/>
        <v>1.1400000000000006</v>
      </c>
      <c r="Z136" s="62">
        <f t="shared" si="7"/>
        <v>0</v>
      </c>
    </row>
    <row r="137" spans="21:26" ht="12.75">
      <c r="U137" s="58">
        <f t="shared" si="8"/>
        <v>0</v>
      </c>
      <c r="V137" s="59">
        <f t="shared" si="5"/>
        <v>0.5800000000000003</v>
      </c>
      <c r="W137" s="60" t="e">
        <f t="shared" si="6"/>
        <v>#DIV/0!</v>
      </c>
      <c r="X137" s="61">
        <f t="shared" si="9"/>
        <v>0</v>
      </c>
      <c r="Y137" s="59">
        <f t="shared" si="10"/>
        <v>1.1600000000000006</v>
      </c>
      <c r="Z137" s="62">
        <f t="shared" si="7"/>
        <v>0</v>
      </c>
    </row>
    <row r="138" spans="21:26" ht="12.75">
      <c r="U138" s="58">
        <f t="shared" si="8"/>
        <v>0</v>
      </c>
      <c r="V138" s="59">
        <f t="shared" si="5"/>
        <v>0.5900000000000003</v>
      </c>
      <c r="W138" s="60" t="e">
        <f t="shared" si="6"/>
        <v>#DIV/0!</v>
      </c>
      <c r="X138" s="61">
        <f t="shared" si="9"/>
        <v>0</v>
      </c>
      <c r="Y138" s="59">
        <f t="shared" si="10"/>
        <v>1.1800000000000006</v>
      </c>
      <c r="Z138" s="62">
        <f t="shared" si="7"/>
        <v>0</v>
      </c>
    </row>
    <row r="139" spans="21:26" ht="12.75">
      <c r="U139" s="58">
        <f t="shared" si="8"/>
        <v>0</v>
      </c>
      <c r="V139" s="59">
        <f t="shared" si="5"/>
        <v>0.6000000000000003</v>
      </c>
      <c r="W139" s="60" t="e">
        <f t="shared" si="6"/>
        <v>#DIV/0!</v>
      </c>
      <c r="X139" s="61">
        <f t="shared" si="9"/>
        <v>0</v>
      </c>
      <c r="Y139" s="59">
        <f t="shared" si="10"/>
        <v>1.2000000000000006</v>
      </c>
      <c r="Z139" s="62">
        <f t="shared" si="7"/>
        <v>0</v>
      </c>
    </row>
    <row r="140" spans="21:26" ht="12.75">
      <c r="U140" s="58">
        <f t="shared" si="8"/>
        <v>0</v>
      </c>
      <c r="V140" s="59">
        <f t="shared" si="5"/>
        <v>0.6100000000000003</v>
      </c>
      <c r="W140" s="60" t="e">
        <f t="shared" si="6"/>
        <v>#DIV/0!</v>
      </c>
      <c r="X140" s="61">
        <f t="shared" si="9"/>
        <v>0</v>
      </c>
      <c r="Y140" s="59">
        <f t="shared" si="10"/>
        <v>1.2200000000000006</v>
      </c>
      <c r="Z140" s="62">
        <f t="shared" si="7"/>
        <v>0</v>
      </c>
    </row>
    <row r="141" spans="21:26" ht="12.75">
      <c r="U141" s="58">
        <f t="shared" si="8"/>
        <v>0</v>
      </c>
      <c r="V141" s="59">
        <f t="shared" si="5"/>
        <v>0.6200000000000003</v>
      </c>
      <c r="W141" s="60" t="e">
        <f t="shared" si="6"/>
        <v>#DIV/0!</v>
      </c>
      <c r="X141" s="61">
        <f t="shared" si="9"/>
        <v>0</v>
      </c>
      <c r="Y141" s="59">
        <f t="shared" si="10"/>
        <v>1.2400000000000007</v>
      </c>
      <c r="Z141" s="62">
        <f t="shared" si="7"/>
        <v>0</v>
      </c>
    </row>
    <row r="142" spans="21:26" ht="12.75">
      <c r="U142" s="58">
        <f t="shared" si="8"/>
        <v>0</v>
      </c>
      <c r="V142" s="59">
        <f t="shared" si="5"/>
        <v>0.6300000000000003</v>
      </c>
      <c r="W142" s="60" t="e">
        <f t="shared" si="6"/>
        <v>#DIV/0!</v>
      </c>
      <c r="X142" s="61">
        <f t="shared" si="9"/>
        <v>0</v>
      </c>
      <c r="Y142" s="59">
        <f t="shared" si="10"/>
        <v>1.2600000000000007</v>
      </c>
      <c r="Z142" s="62">
        <f t="shared" si="7"/>
        <v>0</v>
      </c>
    </row>
    <row r="143" spans="21:26" ht="12.75">
      <c r="U143" s="58">
        <f t="shared" si="8"/>
        <v>0</v>
      </c>
      <c r="V143" s="59">
        <f t="shared" si="5"/>
        <v>0.6400000000000003</v>
      </c>
      <c r="W143" s="60" t="e">
        <f t="shared" si="6"/>
        <v>#DIV/0!</v>
      </c>
      <c r="X143" s="61">
        <f t="shared" si="9"/>
        <v>0</v>
      </c>
      <c r="Y143" s="59">
        <f t="shared" si="10"/>
        <v>1.2800000000000007</v>
      </c>
      <c r="Z143" s="62">
        <f t="shared" si="7"/>
        <v>0</v>
      </c>
    </row>
    <row r="144" spans="21:26" ht="12.75">
      <c r="U144" s="58">
        <f aca="true" t="shared" si="11" ref="U144:U155">(1.49/X$75)*X144*(Z144^0.667)*(Y$75^0.5)</f>
        <v>0</v>
      </c>
      <c r="V144" s="59">
        <f t="shared" si="5"/>
        <v>0.6500000000000004</v>
      </c>
      <c r="W144" s="60" t="e">
        <f t="shared" si="6"/>
        <v>#DIV/0!</v>
      </c>
      <c r="X144" s="61">
        <f aca="true" t="shared" si="12" ref="X144:X150">V$75*(V144)+(W$75*(V144)^2)</f>
        <v>0</v>
      </c>
      <c r="Y144" s="59">
        <f aca="true" t="shared" si="13" ref="Y144:Y150">V$75+2*(V144)*(1+(W$75^2))^0.5</f>
        <v>1.3000000000000007</v>
      </c>
      <c r="Z144" s="62">
        <f t="shared" si="7"/>
        <v>0</v>
      </c>
    </row>
    <row r="145" spans="21:26" ht="12.75">
      <c r="U145" s="58">
        <f t="shared" si="11"/>
        <v>0</v>
      </c>
      <c r="V145" s="59">
        <f t="shared" si="5"/>
        <v>0.6600000000000004</v>
      </c>
      <c r="W145" s="60" t="e">
        <f t="shared" si="6"/>
        <v>#DIV/0!</v>
      </c>
      <c r="X145" s="61">
        <f t="shared" si="12"/>
        <v>0</v>
      </c>
      <c r="Y145" s="59">
        <f t="shared" si="13"/>
        <v>1.3200000000000007</v>
      </c>
      <c r="Z145" s="62">
        <f t="shared" si="7"/>
        <v>0</v>
      </c>
    </row>
    <row r="146" spans="21:26" ht="12.75">
      <c r="U146" s="58">
        <f t="shared" si="11"/>
        <v>0</v>
      </c>
      <c r="V146" s="59">
        <f>V145+0.01</f>
        <v>0.6700000000000004</v>
      </c>
      <c r="W146" s="60" t="e">
        <f t="shared" si="6"/>
        <v>#DIV/0!</v>
      </c>
      <c r="X146" s="61">
        <f t="shared" si="12"/>
        <v>0</v>
      </c>
      <c r="Y146" s="59">
        <f t="shared" si="13"/>
        <v>1.3400000000000007</v>
      </c>
      <c r="Z146" s="62">
        <f t="shared" si="7"/>
        <v>0</v>
      </c>
    </row>
    <row r="147" spans="21:26" ht="12.75">
      <c r="U147" s="58">
        <f t="shared" si="11"/>
        <v>0</v>
      </c>
      <c r="V147" s="59">
        <f>V146+0.01</f>
        <v>0.6800000000000004</v>
      </c>
      <c r="W147" s="60" t="e">
        <f t="shared" si="6"/>
        <v>#DIV/0!</v>
      </c>
      <c r="X147" s="61">
        <f t="shared" si="12"/>
        <v>0</v>
      </c>
      <c r="Y147" s="59">
        <f t="shared" si="13"/>
        <v>1.3600000000000008</v>
      </c>
      <c r="Z147" s="62">
        <f t="shared" si="7"/>
        <v>0</v>
      </c>
    </row>
    <row r="148" spans="21:26" ht="12.75">
      <c r="U148" s="58">
        <f t="shared" si="11"/>
        <v>0</v>
      </c>
      <c r="V148" s="59">
        <f>V147+0.01</f>
        <v>0.6900000000000004</v>
      </c>
      <c r="W148" s="60" t="e">
        <f t="shared" si="6"/>
        <v>#DIV/0!</v>
      </c>
      <c r="X148" s="61">
        <f t="shared" si="12"/>
        <v>0</v>
      </c>
      <c r="Y148" s="59">
        <f t="shared" si="13"/>
        <v>1.3800000000000008</v>
      </c>
      <c r="Z148" s="62">
        <f t="shared" si="7"/>
        <v>0</v>
      </c>
    </row>
    <row r="149" spans="21:26" ht="12.75">
      <c r="U149" s="58">
        <f t="shared" si="11"/>
        <v>0</v>
      </c>
      <c r="V149" s="59">
        <f>V148+0.01</f>
        <v>0.7000000000000004</v>
      </c>
      <c r="W149" s="60" t="e">
        <f t="shared" si="6"/>
        <v>#DIV/0!</v>
      </c>
      <c r="X149" s="61">
        <f t="shared" si="12"/>
        <v>0</v>
      </c>
      <c r="Y149" s="59">
        <f t="shared" si="13"/>
        <v>1.4000000000000008</v>
      </c>
      <c r="Z149" s="62">
        <f t="shared" si="7"/>
        <v>0</v>
      </c>
    </row>
    <row r="150" spans="21:26" ht="12.75">
      <c r="U150" s="58">
        <f t="shared" si="11"/>
        <v>0</v>
      </c>
      <c r="V150" s="36">
        <v>1</v>
      </c>
      <c r="W150" s="60" t="e">
        <f aca="true" t="shared" si="14" ref="W150:W155">U150/X150</f>
        <v>#DIV/0!</v>
      </c>
      <c r="X150" s="61">
        <f t="shared" si="12"/>
        <v>0</v>
      </c>
      <c r="Y150" s="59">
        <f t="shared" si="13"/>
        <v>2</v>
      </c>
      <c r="Z150" s="62">
        <f aca="true" t="shared" si="15" ref="Z150:Z155">X150/Y150</f>
        <v>0</v>
      </c>
    </row>
    <row r="151" spans="21:26" ht="12.75">
      <c r="U151" s="58">
        <f t="shared" si="11"/>
        <v>0</v>
      </c>
      <c r="V151" s="59">
        <f>V150+0.25</f>
        <v>1.25</v>
      </c>
      <c r="W151" s="60" t="e">
        <f t="shared" si="14"/>
        <v>#DIV/0!</v>
      </c>
      <c r="X151" s="61">
        <f>V$75*(V151)+(W$75*(V151)^2)</f>
        <v>0</v>
      </c>
      <c r="Y151" s="59">
        <f>V$75+2*(V151)*(1+(W$75^2))^0.5</f>
        <v>2.5</v>
      </c>
      <c r="Z151" s="62">
        <f t="shared" si="15"/>
        <v>0</v>
      </c>
    </row>
    <row r="152" spans="21:26" ht="12.75">
      <c r="U152" s="58">
        <f t="shared" si="11"/>
        <v>0</v>
      </c>
      <c r="V152" s="59">
        <f>V151+0.25</f>
        <v>1.5</v>
      </c>
      <c r="W152" s="60" t="e">
        <f t="shared" si="14"/>
        <v>#DIV/0!</v>
      </c>
      <c r="X152" s="61">
        <f>V$75*(V152)+(W$75*(V152)^2)</f>
        <v>0</v>
      </c>
      <c r="Y152" s="59">
        <f>V$75+2*(V152)*(1+(W$75^2))^0.5</f>
        <v>3</v>
      </c>
      <c r="Z152" s="62">
        <f t="shared" si="15"/>
        <v>0</v>
      </c>
    </row>
    <row r="153" spans="21:26" ht="12.75">
      <c r="U153" s="58">
        <f t="shared" si="11"/>
        <v>0</v>
      </c>
      <c r="V153" s="59">
        <f>V152+0.25</f>
        <v>1.75</v>
      </c>
      <c r="W153" s="60" t="e">
        <f t="shared" si="14"/>
        <v>#DIV/0!</v>
      </c>
      <c r="X153" s="61">
        <f>V$75*(V153)+(W$75*(V153)^2)</f>
        <v>0</v>
      </c>
      <c r="Y153" s="59">
        <f>V$75+2*(V153)*(1+(W$75^2))^0.5</f>
        <v>3.5</v>
      </c>
      <c r="Z153" s="62">
        <f t="shared" si="15"/>
        <v>0</v>
      </c>
    </row>
    <row r="154" spans="21:26" ht="12.75">
      <c r="U154" s="58">
        <f t="shared" si="11"/>
        <v>0</v>
      </c>
      <c r="V154" s="59">
        <f>V153+0.25</f>
        <v>2</v>
      </c>
      <c r="W154" s="60" t="e">
        <f t="shared" si="14"/>
        <v>#DIV/0!</v>
      </c>
      <c r="X154" s="61">
        <f>V$75*(V154)+(W$75*(V154)^2)</f>
        <v>0</v>
      </c>
      <c r="Y154" s="59">
        <f>V$75+2*(V154)*(1+(W$75^2))^0.5</f>
        <v>4</v>
      </c>
      <c r="Z154" s="62">
        <f t="shared" si="15"/>
        <v>0</v>
      </c>
    </row>
    <row r="155" spans="21:26" ht="12.75">
      <c r="U155" s="58">
        <f t="shared" si="11"/>
        <v>0</v>
      </c>
      <c r="V155" s="59">
        <f>V154+0.25</f>
        <v>2.25</v>
      </c>
      <c r="W155" s="60" t="e">
        <f t="shared" si="14"/>
        <v>#DIV/0!</v>
      </c>
      <c r="X155" s="61">
        <f>V$75*(V155)+(W$75*(V155)^2)</f>
        <v>0</v>
      </c>
      <c r="Y155" s="59">
        <f>V$75+2*(V155)*(1+(W$75^2))^0.5</f>
        <v>4.5</v>
      </c>
      <c r="Z155" s="62">
        <f t="shared" si="15"/>
        <v>0</v>
      </c>
    </row>
  </sheetData>
  <sheetProtection selectLockedCells="1"/>
  <mergeCells count="16">
    <mergeCell ref="C65:D65"/>
    <mergeCell ref="C67:D67"/>
    <mergeCell ref="C70:D70"/>
    <mergeCell ref="C58:D58"/>
    <mergeCell ref="C59:D59"/>
    <mergeCell ref="C63:D63"/>
    <mergeCell ref="C64:D64"/>
    <mergeCell ref="B50:D50"/>
    <mergeCell ref="B51:D51"/>
    <mergeCell ref="B54:D54"/>
    <mergeCell ref="B40:D40"/>
    <mergeCell ref="B43:D43"/>
    <mergeCell ref="B44:D44"/>
    <mergeCell ref="B45:D45"/>
    <mergeCell ref="B47:D47"/>
    <mergeCell ref="B49:D49"/>
  </mergeCells>
  <dataValidations count="1">
    <dataValidation type="list" allowBlank="1" showInputMessage="1" showErrorMessage="1" sqref="C22">
      <formula1>"Offline, Online"</formula1>
    </dataValidation>
  </dataValidations>
  <printOptions/>
  <pageMargins left="0.5" right="0.5" top="0.35" bottom="0.4" header="0.35" footer="0.4"/>
  <pageSetup fitToHeight="0" fitToWidth="1" horizontalDpi="600" verticalDpi="600" orientation="landscape" scale="76" r:id="rId3"/>
  <headerFooter alignWithMargins="0">
    <oddFooter>&amp;L&amp;8November 2011 Version</oddFooter>
  </headerFooter>
  <rowBreaks count="1" manualBreakCount="1">
    <brk id="35" max="3" man="1"/>
  </rowBreaks>
  <drawing r:id="rId2"/>
  <legacyDrawing r:id="rId1"/>
</worksheet>
</file>

<file path=xl/worksheets/sheet13.xml><?xml version="1.0" encoding="utf-8"?>
<worksheet xmlns="http://schemas.openxmlformats.org/spreadsheetml/2006/main" xmlns:r="http://schemas.openxmlformats.org/officeDocument/2006/relationships">
  <sheetPr codeName="Sheet10">
    <tabColor indexed="43"/>
    <pageSetUpPr fitToPage="1"/>
  </sheetPr>
  <dimension ref="A1:K25"/>
  <sheetViews>
    <sheetView zoomScaleSheetLayoutView="50" zoomScalePageLayoutView="0" workbookViewId="0" topLeftCell="A1">
      <selection activeCell="C9" sqref="C9"/>
    </sheetView>
  </sheetViews>
  <sheetFormatPr defaultColWidth="8.8515625" defaultRowHeight="12.75"/>
  <cols>
    <col min="1" max="1" width="9.7109375" style="0" customWidth="1"/>
    <col min="2" max="2" width="24.7109375" style="0" customWidth="1"/>
    <col min="3" max="3" width="20.00390625" style="0" customWidth="1"/>
    <col min="4" max="4" width="4.140625" style="0" customWidth="1"/>
    <col min="5" max="5" width="42.421875" style="0" customWidth="1"/>
    <col min="6" max="10" width="9.140625" customWidth="1"/>
    <col min="11" max="11" width="11.7109375" style="0" customWidth="1"/>
    <col min="12" max="16384" width="9.140625" customWidth="1"/>
  </cols>
  <sheetData>
    <row r="1" ht="15.75">
      <c r="A1" s="38" t="s">
        <v>860</v>
      </c>
    </row>
    <row r="2" ht="12.75">
      <c r="A2" t="s">
        <v>115</v>
      </c>
    </row>
    <row r="3" spans="1:5" s="44" customFormat="1" ht="12.75">
      <c r="A3" s="1"/>
      <c r="C3"/>
      <c r="D3"/>
      <c r="E3"/>
    </row>
    <row r="4" ht="12.75">
      <c r="A4" s="1"/>
    </row>
    <row r="6" ht="18" customHeight="1"/>
    <row r="7" spans="1:8" ht="12.75">
      <c r="A7" s="1" t="s">
        <v>666</v>
      </c>
      <c r="H7" s="1"/>
    </row>
    <row r="8" spans="1:8" ht="13.5" thickBot="1">
      <c r="A8" s="1" t="s">
        <v>98</v>
      </c>
      <c r="B8" s="1"/>
      <c r="H8" s="1"/>
    </row>
    <row r="9" spans="1:5" ht="12.75">
      <c r="A9" s="425">
        <v>1</v>
      </c>
      <c r="B9" s="5" t="s">
        <v>120</v>
      </c>
      <c r="C9" s="648"/>
      <c r="D9" s="380"/>
      <c r="E9" s="387" t="s">
        <v>117</v>
      </c>
    </row>
    <row r="10" spans="1:5" ht="13.5" thickBot="1">
      <c r="A10" s="425">
        <v>2</v>
      </c>
      <c r="B10" s="9" t="s">
        <v>116</v>
      </c>
      <c r="C10" s="389" t="str">
        <f>IF(C9&lt;60,"Yes","No")</f>
        <v>Yes</v>
      </c>
      <c r="D10" s="381"/>
      <c r="E10" s="388"/>
    </row>
    <row r="11" spans="1:3" ht="13.5" thickBot="1">
      <c r="A11" s="466"/>
      <c r="C11" s="36"/>
    </row>
    <row r="12" spans="1:5" ht="13.5" thickBot="1">
      <c r="A12" s="425">
        <v>3</v>
      </c>
      <c r="B12" s="200" t="s">
        <v>118</v>
      </c>
      <c r="C12" s="390">
        <f>IF(C10="No","VBS not suitable unless combined with other measure",IF(C9/2&lt;15,15,C9/2))</f>
        <v>15</v>
      </c>
      <c r="D12" s="391"/>
      <c r="E12" s="378" t="s">
        <v>117</v>
      </c>
    </row>
    <row r="13" ht="12.75">
      <c r="C13" s="36"/>
    </row>
    <row r="14" ht="25.5" customHeight="1">
      <c r="C14" s="36"/>
    </row>
    <row r="15" ht="12.75">
      <c r="A15" s="1" t="s">
        <v>663</v>
      </c>
    </row>
    <row r="16" ht="12.75">
      <c r="A16" s="44" t="s">
        <v>102</v>
      </c>
    </row>
    <row r="18" ht="12.75">
      <c r="A18" s="55" t="s">
        <v>584</v>
      </c>
    </row>
    <row r="19" spans="1:11" ht="37.5" customHeight="1">
      <c r="A19" s="483">
        <v>1</v>
      </c>
      <c r="B19" s="736" t="s">
        <v>671</v>
      </c>
      <c r="C19" s="736"/>
      <c r="D19" s="736"/>
      <c r="E19" s="736"/>
      <c r="F19" s="730"/>
      <c r="G19" s="730"/>
      <c r="H19" s="730"/>
      <c r="I19" s="730"/>
      <c r="J19" s="730"/>
      <c r="K19" s="730"/>
    </row>
    <row r="20" spans="1:5" ht="12.75">
      <c r="A20" s="483">
        <v>2</v>
      </c>
      <c r="B20" s="718" t="s">
        <v>119</v>
      </c>
      <c r="C20" s="718"/>
      <c r="D20" s="718"/>
      <c r="E20" s="718"/>
    </row>
    <row r="21" spans="1:11" ht="24" customHeight="1">
      <c r="A21" s="483">
        <v>3</v>
      </c>
      <c r="B21" s="718" t="s">
        <v>110</v>
      </c>
      <c r="C21" s="718"/>
      <c r="D21" s="718"/>
      <c r="E21" s="718"/>
      <c r="F21" s="730"/>
      <c r="G21" s="730"/>
      <c r="H21" s="730"/>
      <c r="I21" s="730"/>
      <c r="J21" s="730"/>
      <c r="K21" s="730"/>
    </row>
    <row r="22" spans="1:5" ht="12.75">
      <c r="A22" s="149"/>
      <c r="B22" s="149"/>
      <c r="C22" s="149"/>
      <c r="D22" s="149"/>
      <c r="E22" s="149"/>
    </row>
    <row r="23" spans="1:5" ht="12.75">
      <c r="A23" s="419" t="s">
        <v>664</v>
      </c>
      <c r="B23" s="149"/>
      <c r="C23" s="149"/>
      <c r="D23" s="149"/>
      <c r="E23" s="149"/>
    </row>
    <row r="24" spans="1:5" ht="12.75">
      <c r="A24" s="149"/>
      <c r="B24" s="386" t="s">
        <v>104</v>
      </c>
      <c r="C24" s="149" t="s">
        <v>114</v>
      </c>
      <c r="D24" s="149"/>
      <c r="E24" s="149"/>
    </row>
    <row r="25" spans="1:5" ht="12.75">
      <c r="A25" s="149"/>
      <c r="B25" s="386" t="s">
        <v>105</v>
      </c>
      <c r="C25" s="491" t="s">
        <v>97</v>
      </c>
      <c r="D25" s="149"/>
      <c r="E25" s="149"/>
    </row>
  </sheetData>
  <sheetProtection selectLockedCells="1"/>
  <mergeCells count="3">
    <mergeCell ref="B20:E20"/>
    <mergeCell ref="B19:K19"/>
    <mergeCell ref="B21:K21"/>
  </mergeCells>
  <printOptions/>
  <pageMargins left="0.5" right="0.5" top="0.35" bottom="0.4" header="0.35" footer="0.4"/>
  <pageSetup fitToHeight="0" fitToWidth="1" orientation="landscape" scale="82" r:id="rId3"/>
  <headerFooter alignWithMargins="0">
    <oddFooter>&amp;L&amp;8November 2011 Version</oddFooter>
  </headerFooter>
  <drawing r:id="rId2"/>
  <legacyDrawing r:id="rId1"/>
</worksheet>
</file>

<file path=xl/worksheets/sheet14.xml><?xml version="1.0" encoding="utf-8"?>
<worksheet xmlns="http://schemas.openxmlformats.org/spreadsheetml/2006/main" xmlns:r="http://schemas.openxmlformats.org/officeDocument/2006/relationships">
  <sheetPr codeName="Sheet12">
    <tabColor indexed="42"/>
    <pageSetUpPr fitToPage="1"/>
  </sheetPr>
  <dimension ref="A1:S50"/>
  <sheetViews>
    <sheetView zoomScaleSheetLayoutView="100" zoomScalePageLayoutView="0" workbookViewId="0" topLeftCell="A1">
      <selection activeCell="A1" sqref="A1"/>
    </sheetView>
  </sheetViews>
  <sheetFormatPr defaultColWidth="9.140625" defaultRowHeight="12.75"/>
  <cols>
    <col min="1" max="1" width="9.7109375" style="0" customWidth="1"/>
  </cols>
  <sheetData>
    <row r="1" ht="12.75">
      <c r="A1" s="1" t="s">
        <v>663</v>
      </c>
    </row>
    <row r="2" ht="12.75">
      <c r="A2" s="1"/>
    </row>
    <row r="3" spans="1:13" ht="12.75">
      <c r="A3" s="738" t="s">
        <v>9</v>
      </c>
      <c r="B3" s="739"/>
      <c r="C3" s="739"/>
      <c r="D3" s="739"/>
      <c r="E3" s="739"/>
      <c r="F3" s="739"/>
      <c r="G3" s="739"/>
      <c r="H3" s="739"/>
      <c r="I3" s="739"/>
      <c r="J3" s="739"/>
      <c r="K3" s="739"/>
      <c r="L3" s="739"/>
      <c r="M3" s="739"/>
    </row>
    <row r="4" ht="12.75">
      <c r="A4" s="1"/>
    </row>
    <row r="5" spans="1:10" ht="12.75">
      <c r="A5" s="1" t="s">
        <v>189</v>
      </c>
      <c r="C5" s="44"/>
      <c r="D5" s="314"/>
      <c r="E5" s="314"/>
      <c r="F5" s="314"/>
      <c r="G5" s="314"/>
      <c r="H5" s="300"/>
      <c r="I5" s="214"/>
      <c r="J5" s="299"/>
    </row>
    <row r="6" spans="1:10" ht="14.25">
      <c r="A6" s="670">
        <v>1</v>
      </c>
      <c r="B6" s="491" t="s">
        <v>986</v>
      </c>
      <c r="C6" s="491"/>
      <c r="D6" s="492"/>
      <c r="E6" s="220"/>
      <c r="F6" s="493"/>
      <c r="G6" s="492"/>
      <c r="H6" s="149"/>
      <c r="I6" s="224"/>
      <c r="J6" s="149"/>
    </row>
    <row r="7" spans="1:19" ht="12.75">
      <c r="A7" s="483">
        <v>2</v>
      </c>
      <c r="B7" s="491" t="s">
        <v>542</v>
      </c>
      <c r="C7" s="491"/>
      <c r="D7" s="492"/>
      <c r="E7" s="492"/>
      <c r="F7" s="492"/>
      <c r="G7" s="492"/>
      <c r="H7" s="149"/>
      <c r="I7" s="222"/>
      <c r="Q7" s="669"/>
      <c r="R7" s="671"/>
      <c r="S7" s="671" t="s">
        <v>987</v>
      </c>
    </row>
    <row r="8" spans="1:10" ht="14.25">
      <c r="A8" s="488">
        <v>3</v>
      </c>
      <c r="B8" s="491" t="s">
        <v>988</v>
      </c>
      <c r="C8" s="149"/>
      <c r="D8" s="492"/>
      <c r="E8" s="220"/>
      <c r="F8" s="220"/>
      <c r="G8" s="492"/>
      <c r="H8" s="224"/>
      <c r="I8" s="224"/>
      <c r="J8" s="149"/>
    </row>
    <row r="9" spans="1:19" ht="26.25" customHeight="1">
      <c r="A9" s="488">
        <v>4</v>
      </c>
      <c r="B9" s="740" t="s">
        <v>886</v>
      </c>
      <c r="C9" s="741"/>
      <c r="D9" s="741"/>
      <c r="E9" s="741"/>
      <c r="F9" s="741"/>
      <c r="G9" s="741"/>
      <c r="H9" s="741"/>
      <c r="I9" s="741"/>
      <c r="J9" s="741"/>
      <c r="K9" s="741"/>
      <c r="L9" s="741"/>
      <c r="M9" s="741"/>
      <c r="N9" s="741"/>
      <c r="O9" s="741"/>
      <c r="P9" s="741"/>
      <c r="Q9" s="741"/>
      <c r="R9" s="671"/>
      <c r="S9" s="671" t="s">
        <v>489</v>
      </c>
    </row>
    <row r="10" spans="1:17" ht="12.75">
      <c r="A10" s="488">
        <v>5</v>
      </c>
      <c r="B10" s="742" t="s">
        <v>543</v>
      </c>
      <c r="C10" s="739"/>
      <c r="D10" s="739"/>
      <c r="E10" s="739"/>
      <c r="F10" s="739"/>
      <c r="G10" s="739"/>
      <c r="H10" s="739"/>
      <c r="I10" s="739"/>
      <c r="J10" s="739"/>
      <c r="K10" s="739"/>
      <c r="L10" s="739"/>
      <c r="M10" s="739"/>
      <c r="N10" s="739"/>
      <c r="O10" s="739"/>
      <c r="P10" s="3"/>
      <c r="Q10" s="3"/>
    </row>
    <row r="11" spans="1:17" ht="27" customHeight="1">
      <c r="A11" s="489">
        <v>6</v>
      </c>
      <c r="B11" s="740" t="s">
        <v>544</v>
      </c>
      <c r="C11" s="741"/>
      <c r="D11" s="741"/>
      <c r="E11" s="741"/>
      <c r="F11" s="741"/>
      <c r="G11" s="741"/>
      <c r="H11" s="741"/>
      <c r="I11" s="741"/>
      <c r="J11" s="741"/>
      <c r="K11" s="741"/>
      <c r="L11" s="741"/>
      <c r="M11" s="741"/>
      <c r="N11" s="741"/>
      <c r="O11" s="741"/>
      <c r="P11" s="741"/>
      <c r="Q11" s="741"/>
    </row>
    <row r="12" spans="1:10" ht="12.75">
      <c r="A12" s="489">
        <v>7</v>
      </c>
      <c r="B12" s="491" t="s">
        <v>183</v>
      </c>
      <c r="C12" s="149"/>
      <c r="D12" s="149"/>
      <c r="E12" s="492"/>
      <c r="F12" s="492"/>
      <c r="G12" s="492"/>
      <c r="H12" s="494"/>
      <c r="I12" s="224"/>
      <c r="J12" s="149"/>
    </row>
    <row r="13" spans="1:17" ht="27" customHeight="1">
      <c r="A13" s="483">
        <v>8</v>
      </c>
      <c r="B13" s="736" t="s">
        <v>545</v>
      </c>
      <c r="C13" s="736"/>
      <c r="D13" s="736"/>
      <c r="E13" s="736"/>
      <c r="F13" s="736"/>
      <c r="G13" s="736"/>
      <c r="H13" s="736"/>
      <c r="I13" s="736"/>
      <c r="J13" s="736"/>
      <c r="K13" s="730"/>
      <c r="L13" s="730"/>
      <c r="M13" s="730"/>
      <c r="N13" s="730"/>
      <c r="O13" s="730"/>
      <c r="P13" s="730"/>
      <c r="Q13" s="730"/>
    </row>
    <row r="14" spans="1:17" ht="40.5" customHeight="1">
      <c r="A14" s="483">
        <v>9</v>
      </c>
      <c r="B14" s="736" t="s">
        <v>0</v>
      </c>
      <c r="C14" s="730"/>
      <c r="D14" s="730"/>
      <c r="E14" s="730"/>
      <c r="F14" s="730"/>
      <c r="G14" s="730"/>
      <c r="H14" s="730"/>
      <c r="I14" s="730"/>
      <c r="J14" s="730"/>
      <c r="K14" s="730"/>
      <c r="L14" s="730"/>
      <c r="M14" s="730"/>
      <c r="N14" s="730"/>
      <c r="O14" s="730"/>
      <c r="P14" s="730"/>
      <c r="Q14" s="730"/>
    </row>
    <row r="15" spans="1:10" ht="12.75">
      <c r="A15" s="483">
        <v>10</v>
      </c>
      <c r="B15" s="491" t="s">
        <v>1</v>
      </c>
      <c r="C15" s="418"/>
      <c r="D15" s="418"/>
      <c r="E15" s="418"/>
      <c r="F15" s="418"/>
      <c r="G15" s="418"/>
      <c r="H15" s="418"/>
      <c r="I15" s="418"/>
      <c r="J15" s="418"/>
    </row>
    <row r="16" spans="1:10" ht="12.75">
      <c r="A16" s="491"/>
      <c r="B16" s="491"/>
      <c r="C16" s="418"/>
      <c r="D16" s="418"/>
      <c r="E16" s="418"/>
      <c r="F16" s="418"/>
      <c r="G16" s="418"/>
      <c r="H16" s="418"/>
      <c r="I16" s="418"/>
      <c r="J16" s="418"/>
    </row>
    <row r="17" spans="1:10" ht="12.75">
      <c r="A17" s="567" t="s">
        <v>190</v>
      </c>
      <c r="B17" s="491"/>
      <c r="C17" s="418"/>
      <c r="D17" s="418"/>
      <c r="E17" s="418"/>
      <c r="F17" s="418"/>
      <c r="G17" s="418"/>
      <c r="H17" s="418"/>
      <c r="I17" s="418"/>
      <c r="J17" s="418"/>
    </row>
    <row r="18" spans="1:10" ht="12.75">
      <c r="A18" s="483">
        <v>11</v>
      </c>
      <c r="B18" s="491" t="s">
        <v>65</v>
      </c>
      <c r="C18" s="149"/>
      <c r="D18" s="149"/>
      <c r="E18" s="492"/>
      <c r="F18" s="492"/>
      <c r="G18" s="492"/>
      <c r="H18" s="494"/>
      <c r="I18" s="224"/>
      <c r="J18" s="149"/>
    </row>
    <row r="19" spans="1:10" ht="12.75">
      <c r="A19" s="483">
        <v>12</v>
      </c>
      <c r="B19" s="491" t="s">
        <v>972</v>
      </c>
      <c r="C19" s="149"/>
      <c r="D19" s="149"/>
      <c r="E19" s="492"/>
      <c r="F19" s="492"/>
      <c r="G19" s="492"/>
      <c r="H19" s="494"/>
      <c r="I19" s="224"/>
      <c r="J19" s="149"/>
    </row>
    <row r="20" spans="1:10" ht="12.75">
      <c r="A20" s="483"/>
      <c r="B20" s="491" t="s">
        <v>892</v>
      </c>
      <c r="C20" s="149"/>
      <c r="D20" s="149"/>
      <c r="E20" s="492"/>
      <c r="F20" s="492"/>
      <c r="G20" s="492"/>
      <c r="H20" s="494"/>
      <c r="I20" s="224"/>
      <c r="J20" s="149"/>
    </row>
    <row r="21" spans="1:10" ht="12.75">
      <c r="A21" s="483">
        <v>13</v>
      </c>
      <c r="B21" s="495" t="s">
        <v>891</v>
      </c>
      <c r="C21" s="224"/>
      <c r="D21" s="224"/>
      <c r="E21" s="492"/>
      <c r="F21" s="492"/>
      <c r="G21" s="492"/>
      <c r="H21" s="494"/>
      <c r="I21" s="224"/>
      <c r="J21" s="224"/>
    </row>
    <row r="22" spans="1:10" ht="12.75">
      <c r="A22" s="483">
        <v>14</v>
      </c>
      <c r="B22" s="495" t="s">
        <v>890</v>
      </c>
      <c r="C22" s="224"/>
      <c r="D22" s="224"/>
      <c r="E22" s="492"/>
      <c r="F22" s="492"/>
      <c r="G22" s="492"/>
      <c r="H22" s="494"/>
      <c r="I22" s="224"/>
      <c r="J22" s="224"/>
    </row>
    <row r="23" spans="1:17" ht="27.75" customHeight="1">
      <c r="A23" s="483">
        <v>15</v>
      </c>
      <c r="B23" s="736" t="s">
        <v>896</v>
      </c>
      <c r="C23" s="730"/>
      <c r="D23" s="730"/>
      <c r="E23" s="730"/>
      <c r="F23" s="730"/>
      <c r="G23" s="730"/>
      <c r="H23" s="730"/>
      <c r="I23" s="730"/>
      <c r="J23" s="730"/>
      <c r="K23" s="730"/>
      <c r="L23" s="730"/>
      <c r="M23" s="730"/>
      <c r="N23" s="730"/>
      <c r="O23" s="730"/>
      <c r="P23" s="730"/>
      <c r="Q23" s="730"/>
    </row>
    <row r="24" spans="1:17" ht="26.25" customHeight="1">
      <c r="A24" s="483">
        <v>16</v>
      </c>
      <c r="B24" s="736" t="s">
        <v>2</v>
      </c>
      <c r="C24" s="718"/>
      <c r="D24" s="718"/>
      <c r="E24" s="718"/>
      <c r="F24" s="718"/>
      <c r="G24" s="718"/>
      <c r="H24" s="718"/>
      <c r="I24" s="718"/>
      <c r="J24" s="718"/>
      <c r="K24" s="730"/>
      <c r="L24" s="730"/>
      <c r="M24" s="730"/>
      <c r="N24" s="730"/>
      <c r="O24" s="730"/>
      <c r="P24" s="730"/>
      <c r="Q24" s="730"/>
    </row>
    <row r="25" spans="1:10" ht="12.75">
      <c r="A25" s="483">
        <v>17</v>
      </c>
      <c r="B25" s="491" t="s">
        <v>779</v>
      </c>
      <c r="C25" s="149"/>
      <c r="D25" s="149"/>
      <c r="E25" s="492"/>
      <c r="F25" s="492"/>
      <c r="G25" s="492"/>
      <c r="H25" s="494"/>
      <c r="I25" s="224"/>
      <c r="J25" s="149"/>
    </row>
    <row r="26" spans="1:14" ht="12.75">
      <c r="A26" s="483">
        <v>18</v>
      </c>
      <c r="B26" s="742" t="s">
        <v>3</v>
      </c>
      <c r="C26" s="739"/>
      <c r="D26" s="739"/>
      <c r="E26" s="739"/>
      <c r="F26" s="739"/>
      <c r="G26" s="739"/>
      <c r="H26" s="739"/>
      <c r="I26" s="739"/>
      <c r="J26" s="739"/>
      <c r="K26" s="739"/>
      <c r="L26" s="739"/>
      <c r="M26" s="739"/>
      <c r="N26" s="739"/>
    </row>
    <row r="27" spans="1:10" ht="12.75">
      <c r="A27" s="483">
        <v>19</v>
      </c>
      <c r="B27" s="491" t="s">
        <v>780</v>
      </c>
      <c r="C27" s="149"/>
      <c r="D27" s="149"/>
      <c r="E27" s="492"/>
      <c r="F27" s="492"/>
      <c r="G27" s="492"/>
      <c r="H27" s="494"/>
      <c r="I27" s="224"/>
      <c r="J27" s="149"/>
    </row>
    <row r="28" spans="1:10" ht="12.75">
      <c r="A28" s="491"/>
      <c r="B28" s="491"/>
      <c r="C28" s="149"/>
      <c r="D28" s="149"/>
      <c r="E28" s="492"/>
      <c r="F28" s="492"/>
      <c r="G28" s="492"/>
      <c r="H28" s="494"/>
      <c r="I28" s="224"/>
      <c r="J28" s="149"/>
    </row>
    <row r="29" spans="1:10" ht="12.75">
      <c r="A29" s="567" t="s">
        <v>191</v>
      </c>
      <c r="B29" s="491"/>
      <c r="C29" s="149"/>
      <c r="D29" s="149"/>
      <c r="E29" s="492"/>
      <c r="F29" s="492"/>
      <c r="G29" s="492"/>
      <c r="H29" s="494"/>
      <c r="I29" s="224"/>
      <c r="J29" s="149"/>
    </row>
    <row r="30" spans="1:19" ht="12.75">
      <c r="A30" s="483">
        <v>20</v>
      </c>
      <c r="B30" s="740" t="s">
        <v>5</v>
      </c>
      <c r="C30" s="741"/>
      <c r="D30" s="741"/>
      <c r="E30" s="741"/>
      <c r="F30" s="741"/>
      <c r="G30" s="741"/>
      <c r="H30" s="741"/>
      <c r="I30" s="741"/>
      <c r="J30" s="741"/>
      <c r="K30" s="741"/>
      <c r="L30" s="741"/>
      <c r="M30" s="741"/>
      <c r="N30" s="741"/>
      <c r="O30" s="741"/>
      <c r="P30" s="741"/>
      <c r="Q30" s="741"/>
      <c r="S30" s="671" t="s">
        <v>541</v>
      </c>
    </row>
    <row r="31" spans="1:10" ht="12.75">
      <c r="A31" s="483">
        <v>21</v>
      </c>
      <c r="B31" s="495" t="s">
        <v>978</v>
      </c>
      <c r="C31" s="224"/>
      <c r="D31" s="224"/>
      <c r="E31" s="492"/>
      <c r="F31" s="492"/>
      <c r="G31" s="492"/>
      <c r="H31" s="494"/>
      <c r="I31" s="224"/>
      <c r="J31" s="149"/>
    </row>
    <row r="32" spans="1:10" ht="12.75">
      <c r="A32" s="483">
        <v>22</v>
      </c>
      <c r="B32" s="495" t="s">
        <v>313</v>
      </c>
      <c r="C32" s="224"/>
      <c r="D32" s="224"/>
      <c r="E32" s="492"/>
      <c r="F32" s="492"/>
      <c r="G32" s="492"/>
      <c r="H32" s="494"/>
      <c r="I32" s="224"/>
      <c r="J32" s="149"/>
    </row>
    <row r="33" spans="1:10" ht="12.75">
      <c r="A33" s="483">
        <v>23</v>
      </c>
      <c r="B33" s="495" t="s">
        <v>980</v>
      </c>
      <c r="C33" s="224"/>
      <c r="D33" s="224"/>
      <c r="E33" s="492"/>
      <c r="F33" s="492"/>
      <c r="G33" s="492"/>
      <c r="H33" s="494"/>
      <c r="I33" s="224"/>
      <c r="J33" s="149"/>
    </row>
    <row r="34" spans="1:10" ht="12.75">
      <c r="A34" s="483">
        <v>24</v>
      </c>
      <c r="B34" s="495" t="s">
        <v>981</v>
      </c>
      <c r="C34" s="224"/>
      <c r="D34" s="224"/>
      <c r="E34" s="492"/>
      <c r="F34" s="492"/>
      <c r="G34" s="492"/>
      <c r="H34" s="494"/>
      <c r="I34" s="224"/>
      <c r="J34" s="149"/>
    </row>
    <row r="35" spans="1:10" ht="12.75">
      <c r="A35" s="483">
        <v>25</v>
      </c>
      <c r="B35" s="495" t="s">
        <v>754</v>
      </c>
      <c r="C35" s="224"/>
      <c r="D35" s="224"/>
      <c r="E35" s="492"/>
      <c r="F35" s="492"/>
      <c r="G35" s="492"/>
      <c r="H35" s="494"/>
      <c r="I35" s="224"/>
      <c r="J35" s="149"/>
    </row>
    <row r="36" spans="1:10" ht="12.75">
      <c r="A36" s="491"/>
      <c r="B36" s="495"/>
      <c r="C36" s="224"/>
      <c r="D36" s="224"/>
      <c r="E36" s="492"/>
      <c r="F36" s="492"/>
      <c r="G36" s="492"/>
      <c r="H36" s="494"/>
      <c r="I36" s="224"/>
      <c r="J36" s="149"/>
    </row>
    <row r="37" spans="1:10" ht="12.75">
      <c r="A37" s="568" t="s">
        <v>8</v>
      </c>
      <c r="B37" s="491"/>
      <c r="C37" s="149"/>
      <c r="D37" s="149"/>
      <c r="E37" s="492"/>
      <c r="F37" s="492"/>
      <c r="G37" s="492"/>
      <c r="H37" s="494"/>
      <c r="I37" s="224"/>
      <c r="J37" s="149"/>
    </row>
    <row r="38" spans="1:10" ht="12.75">
      <c r="A38" s="483">
        <v>26</v>
      </c>
      <c r="B38" s="491" t="s">
        <v>1003</v>
      </c>
      <c r="C38" s="149"/>
      <c r="D38" s="149"/>
      <c r="E38" s="492"/>
      <c r="F38" s="492"/>
      <c r="G38" s="492"/>
      <c r="H38" s="494"/>
      <c r="I38" s="224"/>
      <c r="J38" s="149"/>
    </row>
    <row r="39" spans="1:10" ht="12.75">
      <c r="A39" s="483">
        <v>27</v>
      </c>
      <c r="B39" s="491" t="s">
        <v>1004</v>
      </c>
      <c r="C39" s="149"/>
      <c r="D39" s="149"/>
      <c r="E39" s="492"/>
      <c r="F39" s="492"/>
      <c r="G39" s="492"/>
      <c r="H39" s="494"/>
      <c r="I39" s="224"/>
      <c r="J39" s="149"/>
    </row>
    <row r="40" spans="1:17" ht="26.25" customHeight="1">
      <c r="A40" s="483">
        <v>28</v>
      </c>
      <c r="B40" s="740" t="s">
        <v>6</v>
      </c>
      <c r="C40" s="741"/>
      <c r="D40" s="741"/>
      <c r="E40" s="741"/>
      <c r="F40" s="741"/>
      <c r="G40" s="741"/>
      <c r="H40" s="741"/>
      <c r="I40" s="741"/>
      <c r="J40" s="741"/>
      <c r="K40" s="741"/>
      <c r="L40" s="741"/>
      <c r="M40" s="741"/>
      <c r="N40" s="741"/>
      <c r="O40" s="741"/>
      <c r="P40" s="741"/>
      <c r="Q40" s="741"/>
    </row>
    <row r="41" spans="1:10" ht="12.75">
      <c r="A41" s="483">
        <v>29</v>
      </c>
      <c r="B41" s="491" t="s">
        <v>7</v>
      </c>
      <c r="C41" s="149"/>
      <c r="D41" s="149"/>
      <c r="E41" s="492"/>
      <c r="F41" s="492"/>
      <c r="G41" s="492"/>
      <c r="H41" s="494"/>
      <c r="I41" s="224"/>
      <c r="J41" s="149"/>
    </row>
    <row r="42" spans="1:10" ht="12.75">
      <c r="A42" s="483">
        <v>30</v>
      </c>
      <c r="B42" s="491" t="s">
        <v>754</v>
      </c>
      <c r="C42" s="149"/>
      <c r="D42" s="149"/>
      <c r="E42" s="492"/>
      <c r="F42" s="492"/>
      <c r="G42" s="492"/>
      <c r="H42" s="494"/>
      <c r="I42" s="224"/>
      <c r="J42" s="149"/>
    </row>
    <row r="44" ht="12.75">
      <c r="A44" s="246" t="s">
        <v>731</v>
      </c>
    </row>
    <row r="45" spans="1:9" ht="12.75">
      <c r="A45" s="491" t="s">
        <v>406</v>
      </c>
      <c r="B45" s="149"/>
      <c r="C45" s="149"/>
      <c r="D45" s="149"/>
      <c r="E45" s="149"/>
      <c r="F45" s="149"/>
      <c r="G45" s="149"/>
      <c r="H45" s="149"/>
      <c r="I45" s="149"/>
    </row>
    <row r="46" spans="1:9" ht="12.75">
      <c r="A46" s="491" t="s">
        <v>999</v>
      </c>
      <c r="B46" s="149"/>
      <c r="C46" s="149"/>
      <c r="D46" s="149"/>
      <c r="E46" s="149"/>
      <c r="F46" s="149"/>
      <c r="G46" s="149"/>
      <c r="H46" s="149"/>
      <c r="I46" s="149"/>
    </row>
    <row r="47" spans="1:10" ht="12.75">
      <c r="A47" s="736" t="s">
        <v>923</v>
      </c>
      <c r="B47" s="718"/>
      <c r="C47" s="718"/>
      <c r="D47" s="718"/>
      <c r="E47" s="718"/>
      <c r="F47" s="718"/>
      <c r="G47" s="718"/>
      <c r="H47" s="718"/>
      <c r="I47" s="718"/>
      <c r="J47" s="214"/>
    </row>
    <row r="48" spans="1:9" ht="12.75">
      <c r="A48" s="736" t="s">
        <v>52</v>
      </c>
      <c r="B48" s="718"/>
      <c r="C48" s="718"/>
      <c r="D48" s="718"/>
      <c r="E48" s="718"/>
      <c r="F48" s="718"/>
      <c r="G48" s="718"/>
      <c r="H48" s="718"/>
      <c r="I48" s="718"/>
    </row>
    <row r="50" spans="1:7" ht="12.75">
      <c r="A50" s="44"/>
      <c r="C50" s="44"/>
      <c r="D50" s="314"/>
      <c r="E50" s="314"/>
      <c r="F50" s="314"/>
      <c r="G50" s="314"/>
    </row>
  </sheetData>
  <sheetProtection password="D24B" sheet="1"/>
  <mergeCells count="13">
    <mergeCell ref="B30:Q30"/>
    <mergeCell ref="A47:I47"/>
    <mergeCell ref="B40:Q40"/>
    <mergeCell ref="A3:M3"/>
    <mergeCell ref="A48:I48"/>
    <mergeCell ref="B9:Q9"/>
    <mergeCell ref="B10:O10"/>
    <mergeCell ref="B11:Q11"/>
    <mergeCell ref="B13:Q13"/>
    <mergeCell ref="B14:Q14"/>
    <mergeCell ref="B24:Q24"/>
    <mergeCell ref="B26:N26"/>
    <mergeCell ref="B23:Q23"/>
  </mergeCells>
  <hyperlinks>
    <hyperlink ref="S7" r:id="rId1" display="Link to CIMIS"/>
    <hyperlink ref="S9" r:id="rId2" display="Link to Guide"/>
    <hyperlink ref="S30" r:id="rId3" display="Link to SDG"/>
  </hyperlinks>
  <printOptions/>
  <pageMargins left="0.75" right="0.75" top="1" bottom="1" header="0.5" footer="0.5"/>
  <pageSetup fitToHeight="2" fitToWidth="1" horizontalDpi="600" verticalDpi="600" orientation="landscape" scale="74" r:id="rId4"/>
  <headerFooter alignWithMargins="0">
    <oddFooter>&amp;LNovember 2011 Version</oddFooter>
  </headerFooter>
</worksheet>
</file>

<file path=xl/worksheets/sheet15.xml><?xml version="1.0" encoding="utf-8"?>
<worksheet xmlns="http://schemas.openxmlformats.org/spreadsheetml/2006/main" xmlns:r="http://schemas.openxmlformats.org/officeDocument/2006/relationships">
  <sheetPr codeName="Sheet4">
    <tabColor indexed="44"/>
    <pageSetUpPr fitToPage="1"/>
  </sheetPr>
  <dimension ref="A1:W170"/>
  <sheetViews>
    <sheetView view="pageBreakPreview" zoomScaleSheetLayoutView="100" zoomScalePageLayoutView="0" workbookViewId="0" topLeftCell="A1">
      <selection activeCell="C12" sqref="C12"/>
    </sheetView>
  </sheetViews>
  <sheetFormatPr defaultColWidth="8.8515625" defaultRowHeight="12.75"/>
  <cols>
    <col min="1" max="1" width="9.7109375" style="0" customWidth="1"/>
    <col min="2" max="2" width="29.140625" style="0" customWidth="1"/>
    <col min="3" max="3" width="14.7109375" style="0" customWidth="1"/>
    <col min="4" max="5" width="16.421875" style="0" customWidth="1"/>
    <col min="6" max="6" width="12.8515625" style="0" customWidth="1"/>
    <col min="7" max="7" width="14.7109375" style="0" customWidth="1"/>
    <col min="8" max="8" width="15.140625" style="0" customWidth="1"/>
    <col min="9" max="9" width="18.421875" style="0" customWidth="1"/>
    <col min="10" max="10" width="14.28125" style="0" customWidth="1"/>
    <col min="11" max="11" width="10.7109375" style="0" customWidth="1"/>
    <col min="12" max="12" width="16.7109375" style="0" hidden="1" customWidth="1"/>
    <col min="13" max="13" width="18.421875" style="0" hidden="1" customWidth="1"/>
    <col min="14" max="15" width="9.140625" style="0" hidden="1" customWidth="1"/>
    <col min="16" max="17" width="0" style="0" hidden="1" customWidth="1"/>
    <col min="18" max="18" width="9.140625" style="0" hidden="1" customWidth="1"/>
    <col min="19" max="20" width="0" style="0" hidden="1" customWidth="1"/>
    <col min="21" max="21" width="10.28125" style="0" hidden="1" customWidth="1"/>
    <col min="22" max="22" width="13.00390625" style="0" hidden="1" customWidth="1"/>
    <col min="23" max="23" width="0" style="0" hidden="1" customWidth="1"/>
    <col min="24" max="16384" width="9.140625" customWidth="1"/>
  </cols>
  <sheetData>
    <row r="1" spans="1:7" ht="12.75">
      <c r="A1" s="1" t="s">
        <v>310</v>
      </c>
      <c r="F1" s="314"/>
      <c r="G1" s="314"/>
    </row>
    <row r="2" spans="1:18" ht="12.75">
      <c r="A2" s="672" t="s">
        <v>888</v>
      </c>
      <c r="D2" s="314"/>
      <c r="E2" s="314"/>
      <c r="F2" s="314"/>
      <c r="G2" s="314"/>
      <c r="R2" s="44" t="s">
        <v>979</v>
      </c>
    </row>
    <row r="3" spans="1:18" ht="12.75">
      <c r="A3" s="672" t="s">
        <v>885</v>
      </c>
      <c r="B3" s="44"/>
      <c r="C3" s="44"/>
      <c r="D3" s="314"/>
      <c r="E3" s="314"/>
      <c r="F3" s="314"/>
      <c r="G3" s="314"/>
      <c r="R3" s="44"/>
    </row>
    <row r="4" spans="18:23" ht="13.5" thickBot="1">
      <c r="R4" s="44" t="s">
        <v>53</v>
      </c>
      <c r="T4" s="490" t="s">
        <v>56</v>
      </c>
      <c r="V4" s="44" t="s">
        <v>54</v>
      </c>
      <c r="W4" s="490" t="s">
        <v>55</v>
      </c>
    </row>
    <row r="5" spans="14:23" ht="12.75">
      <c r="N5" s="44" t="s">
        <v>749</v>
      </c>
      <c r="R5" s="215" t="s">
        <v>750</v>
      </c>
      <c r="S5" s="216" t="s">
        <v>751</v>
      </c>
      <c r="T5" s="217" t="s">
        <v>751</v>
      </c>
      <c r="V5" s="295" t="s">
        <v>750</v>
      </c>
      <c r="W5" s="296" t="s">
        <v>751</v>
      </c>
    </row>
    <row r="6" spans="14:23" ht="13.5" thickBot="1">
      <c r="N6" s="44" t="s">
        <v>982</v>
      </c>
      <c r="O6" s="44" t="s">
        <v>983</v>
      </c>
      <c r="R6" s="218" t="s">
        <v>984</v>
      </c>
      <c r="S6" s="63" t="s">
        <v>985</v>
      </c>
      <c r="T6" s="219" t="s">
        <v>985</v>
      </c>
      <c r="V6" s="293" t="s">
        <v>984</v>
      </c>
      <c r="W6" s="294" t="s">
        <v>985</v>
      </c>
    </row>
    <row r="7" spans="14:23" ht="12.75">
      <c r="N7" s="221">
        <v>0.93</v>
      </c>
      <c r="O7" s="221">
        <v>1.24</v>
      </c>
      <c r="R7" s="215"/>
      <c r="S7" s="216"/>
      <c r="T7" s="217"/>
      <c r="V7" s="6"/>
      <c r="W7" s="8"/>
    </row>
    <row r="8" spans="14:23" ht="12.75">
      <c r="N8" s="221">
        <v>1.4</v>
      </c>
      <c r="O8" s="221">
        <v>1.68</v>
      </c>
      <c r="R8" s="218">
        <v>0</v>
      </c>
      <c r="S8" s="223">
        <f aca="true" t="shared" si="0" ref="S8:S39">T8/100</f>
        <v>0</v>
      </c>
      <c r="T8" s="219">
        <v>0</v>
      </c>
      <c r="V8" s="225">
        <v>0</v>
      </c>
      <c r="W8" s="226">
        <v>0</v>
      </c>
    </row>
    <row r="9" spans="1:23" ht="12.75">
      <c r="A9" s="1" t="s">
        <v>666</v>
      </c>
      <c r="N9" s="221">
        <v>2.48</v>
      </c>
      <c r="O9" s="221">
        <v>3.1</v>
      </c>
      <c r="R9" s="225">
        <v>0.03</v>
      </c>
      <c r="S9" s="223">
        <f t="shared" si="0"/>
        <v>0.06</v>
      </c>
      <c r="T9" s="226">
        <v>6</v>
      </c>
      <c r="V9" s="225">
        <v>0.03</v>
      </c>
      <c r="W9" s="226">
        <v>6</v>
      </c>
    </row>
    <row r="10" spans="1:23" ht="12.75">
      <c r="A10" s="233" t="s">
        <v>936</v>
      </c>
      <c r="B10" s="3"/>
      <c r="F10" s="314"/>
      <c r="G10" s="314"/>
      <c r="H10" s="314"/>
      <c r="I10" s="2"/>
      <c r="N10" s="221">
        <v>3.3</v>
      </c>
      <c r="O10" s="221">
        <v>3.9</v>
      </c>
      <c r="R10" s="218">
        <v>0.06</v>
      </c>
      <c r="S10" s="223">
        <f t="shared" si="0"/>
        <v>0.13</v>
      </c>
      <c r="T10" s="219">
        <v>13</v>
      </c>
      <c r="V10" s="218">
        <v>0.06</v>
      </c>
      <c r="W10" s="219">
        <v>13</v>
      </c>
    </row>
    <row r="11" spans="1:23" ht="13.5" thickBot="1">
      <c r="A11" s="3"/>
      <c r="B11" s="23"/>
      <c r="F11" s="2"/>
      <c r="G11" s="2"/>
      <c r="H11" s="314"/>
      <c r="I11" s="2"/>
      <c r="N11" s="221">
        <v>4.03</v>
      </c>
      <c r="O11" s="221">
        <v>4.65</v>
      </c>
      <c r="R11" s="218">
        <v>0.12</v>
      </c>
      <c r="S11" s="223">
        <f t="shared" si="0"/>
        <v>0.2823</v>
      </c>
      <c r="T11" s="219">
        <v>28.23</v>
      </c>
      <c r="V11" s="225">
        <v>0.12</v>
      </c>
      <c r="W11" s="226">
        <v>21.54</v>
      </c>
    </row>
    <row r="12" spans="1:23" ht="13.5" customHeight="1">
      <c r="A12" s="485">
        <v>1</v>
      </c>
      <c r="B12" s="308" t="s">
        <v>937</v>
      </c>
      <c r="C12" s="613"/>
      <c r="D12" s="309" t="s">
        <v>938</v>
      </c>
      <c r="E12" s="15"/>
      <c r="F12" s="83"/>
      <c r="G12" s="234"/>
      <c r="H12" s="328"/>
      <c r="I12" s="33"/>
      <c r="N12" s="221">
        <v>4.5</v>
      </c>
      <c r="O12" s="221">
        <v>5.1</v>
      </c>
      <c r="R12" s="218">
        <v>0.24</v>
      </c>
      <c r="S12" s="223">
        <f t="shared" si="0"/>
        <v>0.49219999999999997</v>
      </c>
      <c r="T12" s="219">
        <v>49.22</v>
      </c>
      <c r="V12" s="225">
        <v>0.24</v>
      </c>
      <c r="W12" s="226">
        <v>38.76</v>
      </c>
    </row>
    <row r="13" spans="1:23" ht="13.5" customHeight="1">
      <c r="A13" s="485">
        <v>2</v>
      </c>
      <c r="B13" s="318" t="s">
        <v>939</v>
      </c>
      <c r="C13" s="607"/>
      <c r="D13" s="743" t="s">
        <v>182</v>
      </c>
      <c r="E13" s="744"/>
      <c r="F13" s="744"/>
      <c r="G13" s="744"/>
      <c r="H13" s="744"/>
      <c r="I13" s="745"/>
      <c r="J13" s="701" t="s">
        <v>987</v>
      </c>
      <c r="N13" s="221">
        <v>4.65</v>
      </c>
      <c r="O13" s="221">
        <v>4.96</v>
      </c>
      <c r="R13" s="218">
        <v>0.36</v>
      </c>
      <c r="S13" s="223">
        <f t="shared" si="0"/>
        <v>0.6457999999999999</v>
      </c>
      <c r="T13" s="219">
        <v>64.58</v>
      </c>
      <c r="V13" s="225">
        <v>0.36</v>
      </c>
      <c r="W13" s="226">
        <v>52.69</v>
      </c>
    </row>
    <row r="14" spans="1:23" ht="13.5" customHeight="1">
      <c r="A14" s="485">
        <v>3</v>
      </c>
      <c r="B14" s="318" t="s">
        <v>756</v>
      </c>
      <c r="C14" s="607"/>
      <c r="D14" s="312" t="s">
        <v>938</v>
      </c>
      <c r="E14" s="7"/>
      <c r="F14" s="2"/>
      <c r="G14" s="496"/>
      <c r="H14" s="314"/>
      <c r="I14" s="19"/>
      <c r="J14" s="237"/>
      <c r="N14" s="221">
        <v>4.03</v>
      </c>
      <c r="O14" s="221">
        <v>4.65</v>
      </c>
      <c r="R14" s="218">
        <v>0.48</v>
      </c>
      <c r="S14" s="223">
        <f t="shared" si="0"/>
        <v>0.7570999999999999</v>
      </c>
      <c r="T14" s="219">
        <v>75.71</v>
      </c>
      <c r="V14" s="225">
        <v>0.48</v>
      </c>
      <c r="W14" s="226">
        <v>63.74</v>
      </c>
    </row>
    <row r="15" spans="1:23" ht="13.5" customHeight="1">
      <c r="A15" s="485">
        <v>4</v>
      </c>
      <c r="B15" s="318" t="s">
        <v>757</v>
      </c>
      <c r="C15" s="607"/>
      <c r="D15" s="753" t="s">
        <v>536</v>
      </c>
      <c r="E15" s="754"/>
      <c r="F15" s="754"/>
      <c r="G15" s="754"/>
      <c r="H15" s="754"/>
      <c r="I15" s="755"/>
      <c r="J15" s="749" t="s">
        <v>489</v>
      </c>
      <c r="N15" s="221">
        <v>3.3</v>
      </c>
      <c r="O15" s="221">
        <v>3.9</v>
      </c>
      <c r="R15" s="218">
        <v>0.6000000000000001</v>
      </c>
      <c r="S15" s="223">
        <f t="shared" si="0"/>
        <v>0.8345</v>
      </c>
      <c r="T15" s="219">
        <v>83.45</v>
      </c>
      <c r="V15" s="225">
        <v>0.6000000000000001</v>
      </c>
      <c r="W15" s="226">
        <v>72.51</v>
      </c>
    </row>
    <row r="16" spans="1:23" ht="13.5" customHeight="1">
      <c r="A16" s="485">
        <v>5</v>
      </c>
      <c r="B16" s="318" t="s">
        <v>758</v>
      </c>
      <c r="C16" s="607"/>
      <c r="D16" s="235" t="s">
        <v>759</v>
      </c>
      <c r="E16" s="7"/>
      <c r="F16" s="2"/>
      <c r="G16" s="496"/>
      <c r="H16" s="314"/>
      <c r="I16" s="19"/>
      <c r="J16" s="750"/>
      <c r="N16" s="221">
        <v>2.48</v>
      </c>
      <c r="O16" s="221">
        <v>2.79</v>
      </c>
      <c r="R16" s="218">
        <v>0.72</v>
      </c>
      <c r="S16" s="223">
        <f t="shared" si="0"/>
        <v>0.8878</v>
      </c>
      <c r="T16" s="219">
        <v>88.78</v>
      </c>
      <c r="V16" s="225">
        <v>0.72</v>
      </c>
      <c r="W16" s="226">
        <v>79.28</v>
      </c>
    </row>
    <row r="17" spans="1:23" ht="13.5" customHeight="1">
      <c r="A17" s="485">
        <v>6</v>
      </c>
      <c r="B17" s="318" t="s">
        <v>760</v>
      </c>
      <c r="C17" s="607"/>
      <c r="D17" s="235" t="s">
        <v>761</v>
      </c>
      <c r="E17" s="7"/>
      <c r="F17" s="2"/>
      <c r="G17" s="496"/>
      <c r="H17" s="314"/>
      <c r="I17" s="19"/>
      <c r="J17" s="750"/>
      <c r="N17" s="221">
        <v>1.2</v>
      </c>
      <c r="O17" s="221">
        <v>1.8</v>
      </c>
      <c r="R17" s="218">
        <v>0.8400000000000001</v>
      </c>
      <c r="S17" s="223">
        <f t="shared" si="0"/>
        <v>0.9251</v>
      </c>
      <c r="T17" s="219">
        <v>92.51</v>
      </c>
      <c r="V17" s="225">
        <v>0.8400000000000001</v>
      </c>
      <c r="W17" s="226">
        <v>84.49</v>
      </c>
    </row>
    <row r="18" spans="1:23" ht="13.5" customHeight="1">
      <c r="A18" s="485">
        <v>7</v>
      </c>
      <c r="B18" s="318" t="s">
        <v>762</v>
      </c>
      <c r="C18" s="147">
        <f>C15*C16*C17</f>
        <v>0</v>
      </c>
      <c r="D18" s="235" t="s">
        <v>763</v>
      </c>
      <c r="E18" s="7"/>
      <c r="F18" s="2"/>
      <c r="G18" s="496"/>
      <c r="H18" s="314"/>
      <c r="I18" s="19"/>
      <c r="J18" s="237"/>
      <c r="N18" s="221">
        <v>0.62</v>
      </c>
      <c r="O18" s="221">
        <v>1.24</v>
      </c>
      <c r="R18" s="218">
        <v>0.96</v>
      </c>
      <c r="S18" s="223">
        <f t="shared" si="0"/>
        <v>0.9501999999999999</v>
      </c>
      <c r="T18" s="219">
        <v>95.02</v>
      </c>
      <c r="V18" s="225">
        <v>0.96</v>
      </c>
      <c r="W18" s="226">
        <v>88.46</v>
      </c>
    </row>
    <row r="19" spans="1:23" ht="13.5" customHeight="1">
      <c r="A19" s="485"/>
      <c r="B19" s="318" t="s">
        <v>1000</v>
      </c>
      <c r="C19" s="238">
        <f>SUM(C14,C12)</f>
        <v>0</v>
      </c>
      <c r="D19" s="312" t="s">
        <v>938</v>
      </c>
      <c r="E19" s="7"/>
      <c r="F19" s="2"/>
      <c r="G19" s="496"/>
      <c r="H19" s="314"/>
      <c r="I19" s="19"/>
      <c r="J19" s="237"/>
      <c r="N19" s="36">
        <v>32.9</v>
      </c>
      <c r="O19" s="227">
        <v>39</v>
      </c>
      <c r="R19" s="218">
        <v>1.08</v>
      </c>
      <c r="S19" s="223">
        <f t="shared" si="0"/>
        <v>0.9662999999999999</v>
      </c>
      <c r="T19" s="219">
        <v>96.63</v>
      </c>
      <c r="V19" s="225">
        <v>1.08</v>
      </c>
      <c r="W19" s="226">
        <v>91.49</v>
      </c>
    </row>
    <row r="20" spans="1:23" ht="13.5" customHeight="1">
      <c r="A20" s="485"/>
      <c r="B20" s="318" t="s">
        <v>1001</v>
      </c>
      <c r="C20" s="147">
        <f>IF(C19&gt;0,(C12*C13+C14*C18)/C19,0)</f>
        <v>0</v>
      </c>
      <c r="D20" s="497"/>
      <c r="E20" s="7"/>
      <c r="F20" s="2"/>
      <c r="G20" s="496"/>
      <c r="H20" s="314"/>
      <c r="I20" s="19"/>
      <c r="J20" s="237"/>
      <c r="N20" s="36"/>
      <c r="O20" s="36"/>
      <c r="R20" s="218">
        <v>1.2000000000000002</v>
      </c>
      <c r="S20" s="223">
        <f t="shared" si="0"/>
        <v>0.9773999999999999</v>
      </c>
      <c r="T20" s="219">
        <v>97.74</v>
      </c>
      <c r="V20" s="225">
        <v>1.2000000000000002</v>
      </c>
      <c r="W20" s="226">
        <v>93.71</v>
      </c>
    </row>
    <row r="21" spans="1:23" ht="13.5" customHeight="1">
      <c r="A21" s="425">
        <v>8</v>
      </c>
      <c r="B21" s="6" t="s">
        <v>1002</v>
      </c>
      <c r="C21" s="656"/>
      <c r="D21" s="235" t="s">
        <v>931</v>
      </c>
      <c r="E21" s="7"/>
      <c r="F21" s="2"/>
      <c r="G21" s="2"/>
      <c r="H21" s="2"/>
      <c r="I21" s="19"/>
      <c r="J21" s="237"/>
      <c r="R21" s="218">
        <v>1.32</v>
      </c>
      <c r="S21" s="223">
        <f t="shared" si="0"/>
        <v>0.9845999999999999</v>
      </c>
      <c r="T21" s="219">
        <v>98.46</v>
      </c>
      <c r="V21" s="225">
        <v>1.32</v>
      </c>
      <c r="W21" s="226">
        <v>95.35</v>
      </c>
    </row>
    <row r="22" spans="1:23" ht="13.5" customHeight="1" thickBot="1">
      <c r="A22" s="425">
        <v>9</v>
      </c>
      <c r="B22" s="333" t="s">
        <v>932</v>
      </c>
      <c r="C22" s="614"/>
      <c r="D22" s="239" t="s">
        <v>538</v>
      </c>
      <c r="E22" s="10"/>
      <c r="F22" s="51"/>
      <c r="G22" s="51"/>
      <c r="H22" s="51"/>
      <c r="I22" s="43"/>
      <c r="J22" s="237"/>
      <c r="R22" s="218">
        <v>1.44</v>
      </c>
      <c r="S22" s="223">
        <f t="shared" si="0"/>
        <v>0.9892</v>
      </c>
      <c r="T22" s="219">
        <v>98.92</v>
      </c>
      <c r="V22" s="225">
        <v>1.44</v>
      </c>
      <c r="W22" s="226">
        <v>96.52</v>
      </c>
    </row>
    <row r="23" spans="1:23" ht="13.5" customHeight="1" thickBot="1">
      <c r="A23" s="36"/>
      <c r="F23" s="314"/>
      <c r="G23" s="314"/>
      <c r="H23" s="314"/>
      <c r="J23" s="237"/>
      <c r="R23" s="218">
        <v>1.56</v>
      </c>
      <c r="S23" s="223">
        <f t="shared" si="0"/>
        <v>0.9923000000000001</v>
      </c>
      <c r="T23" s="219">
        <v>99.23</v>
      </c>
      <c r="V23" s="225">
        <v>1.56</v>
      </c>
      <c r="W23" s="226">
        <v>97.4</v>
      </c>
    </row>
    <row r="24" spans="1:23" ht="13.5" customHeight="1">
      <c r="A24" s="485">
        <v>10</v>
      </c>
      <c r="B24" s="758" t="s">
        <v>933</v>
      </c>
      <c r="C24" s="343" t="s">
        <v>924</v>
      </c>
      <c r="D24" s="344" t="s">
        <v>925</v>
      </c>
      <c r="E24" s="348" t="s">
        <v>926</v>
      </c>
      <c r="F24" s="349" t="s">
        <v>927</v>
      </c>
      <c r="G24" s="349"/>
      <c r="H24" s="349"/>
      <c r="I24" s="350"/>
      <c r="K24" s="240"/>
      <c r="R24" s="218">
        <v>1.6800000000000002</v>
      </c>
      <c r="S24" s="223">
        <f t="shared" si="0"/>
        <v>0.9948</v>
      </c>
      <c r="T24" s="219">
        <v>99.48</v>
      </c>
      <c r="V24" s="225">
        <v>1.6800000000000002</v>
      </c>
      <c r="W24" s="226">
        <v>98.04</v>
      </c>
    </row>
    <row r="25" spans="1:23" ht="13.5" customHeight="1">
      <c r="A25" s="3"/>
      <c r="B25" s="759"/>
      <c r="C25" s="345" t="s">
        <v>928</v>
      </c>
      <c r="D25" s="346" t="s">
        <v>929</v>
      </c>
      <c r="E25" s="351" t="s">
        <v>929</v>
      </c>
      <c r="F25" s="305"/>
      <c r="G25" s="306"/>
      <c r="H25" s="241"/>
      <c r="I25" s="352" t="s">
        <v>930</v>
      </c>
      <c r="R25" s="218">
        <v>1.7999999999999998</v>
      </c>
      <c r="S25" s="223">
        <f t="shared" si="0"/>
        <v>0.9963</v>
      </c>
      <c r="T25" s="219">
        <v>99.63</v>
      </c>
      <c r="V25" s="225">
        <v>1.7999999999999998</v>
      </c>
      <c r="W25" s="226">
        <v>98.49</v>
      </c>
    </row>
    <row r="26" spans="1:23" ht="13.5" customHeight="1" thickBot="1">
      <c r="A26" s="3"/>
      <c r="B26" s="760"/>
      <c r="C26" s="347" t="s">
        <v>949</v>
      </c>
      <c r="D26" s="243" t="s">
        <v>950</v>
      </c>
      <c r="E26" s="353" t="s">
        <v>951</v>
      </c>
      <c r="F26" s="354" t="s">
        <v>952</v>
      </c>
      <c r="G26" s="355" t="s">
        <v>953</v>
      </c>
      <c r="H26" s="243" t="s">
        <v>954</v>
      </c>
      <c r="I26" s="353" t="s">
        <v>955</v>
      </c>
      <c r="R26" s="218">
        <v>1.92</v>
      </c>
      <c r="S26" s="223">
        <f t="shared" si="0"/>
        <v>0.9972</v>
      </c>
      <c r="T26" s="219">
        <v>99.72</v>
      </c>
      <c r="V26" s="225">
        <v>1.92</v>
      </c>
      <c r="W26" s="226">
        <v>98.82</v>
      </c>
    </row>
    <row r="27" spans="1:23" ht="13.5" customHeight="1">
      <c r="A27" s="3"/>
      <c r="B27" s="498" t="s">
        <v>958</v>
      </c>
      <c r="C27" s="620">
        <v>4.5616</v>
      </c>
      <c r="D27" s="617">
        <f aca="true" t="shared" si="1" ref="D27:D38">IF($C$22="Western SF",N7,O7)</f>
        <v>1.24</v>
      </c>
      <c r="E27" s="499">
        <f aca="true" t="shared" si="2" ref="E27:E38">D27*$C$20</f>
        <v>0</v>
      </c>
      <c r="F27" s="500">
        <f aca="true" t="shared" si="3" ref="F27:F38">(L60/12)*$C$19</f>
        <v>0</v>
      </c>
      <c r="G27" s="501"/>
      <c r="H27" s="317"/>
      <c r="I27" s="502"/>
      <c r="R27" s="218">
        <v>2.04</v>
      </c>
      <c r="S27" s="223">
        <f t="shared" si="0"/>
        <v>0.9976999999999999</v>
      </c>
      <c r="T27" s="219">
        <v>99.77</v>
      </c>
      <c r="V27" s="225">
        <v>2.04</v>
      </c>
      <c r="W27" s="226">
        <v>99.1</v>
      </c>
    </row>
    <row r="28" spans="1:23" ht="13.5" customHeight="1">
      <c r="A28" s="3"/>
      <c r="B28" s="498" t="s">
        <v>959</v>
      </c>
      <c r="C28" s="621">
        <v>3.845</v>
      </c>
      <c r="D28" s="618">
        <f t="shared" si="1"/>
        <v>1.68</v>
      </c>
      <c r="E28" s="499">
        <f t="shared" si="2"/>
        <v>0</v>
      </c>
      <c r="F28" s="500">
        <f t="shared" si="3"/>
        <v>0</v>
      </c>
      <c r="G28" s="501"/>
      <c r="H28" s="317"/>
      <c r="I28" s="502"/>
      <c r="R28" s="218">
        <v>2.16</v>
      </c>
      <c r="S28" s="223">
        <f t="shared" si="0"/>
        <v>0.998</v>
      </c>
      <c r="T28" s="219">
        <v>99.8</v>
      </c>
      <c r="V28" s="225">
        <v>2.16</v>
      </c>
      <c r="W28" s="226">
        <v>99.34</v>
      </c>
    </row>
    <row r="29" spans="1:23" ht="13.5" customHeight="1">
      <c r="A29" s="3"/>
      <c r="B29" s="498" t="s">
        <v>960</v>
      </c>
      <c r="C29" s="621">
        <v>2.9074</v>
      </c>
      <c r="D29" s="618">
        <f t="shared" si="1"/>
        <v>3.1</v>
      </c>
      <c r="E29" s="499">
        <f t="shared" si="2"/>
        <v>0</v>
      </c>
      <c r="F29" s="500">
        <f t="shared" si="3"/>
        <v>0</v>
      </c>
      <c r="G29" s="501"/>
      <c r="H29" s="317"/>
      <c r="I29" s="502"/>
      <c r="R29" s="218">
        <v>2.2800000000000002</v>
      </c>
      <c r="S29" s="223">
        <f t="shared" si="0"/>
        <v>0.9982</v>
      </c>
      <c r="T29" s="219">
        <v>99.82</v>
      </c>
      <c r="V29" s="225">
        <v>2.2800000000000002</v>
      </c>
      <c r="W29" s="226">
        <v>99.52</v>
      </c>
    </row>
    <row r="30" spans="1:23" ht="13.5" customHeight="1">
      <c r="A30" s="3"/>
      <c r="B30" s="498" t="s">
        <v>961</v>
      </c>
      <c r="C30" s="621">
        <v>1.4120618556701032</v>
      </c>
      <c r="D30" s="618">
        <f t="shared" si="1"/>
        <v>3.9</v>
      </c>
      <c r="E30" s="499">
        <f t="shared" si="2"/>
        <v>0</v>
      </c>
      <c r="F30" s="500">
        <f t="shared" si="3"/>
        <v>0</v>
      </c>
      <c r="G30" s="505">
        <f>(F30*7.48)</f>
        <v>0</v>
      </c>
      <c r="H30" s="506">
        <f aca="true" t="shared" si="4" ref="H30:H36">(G30)/M63</f>
        <v>0</v>
      </c>
      <c r="I30" s="507" t="e">
        <f aca="true" t="shared" si="5" ref="I30:I36">G30/$G$39</f>
        <v>#DIV/0!</v>
      </c>
      <c r="R30" s="218">
        <v>2.4000000000000004</v>
      </c>
      <c r="S30" s="223">
        <f t="shared" si="0"/>
        <v>0.9984999999999999</v>
      </c>
      <c r="T30" s="219">
        <v>99.85</v>
      </c>
      <c r="V30" s="225">
        <v>2.4000000000000004</v>
      </c>
      <c r="W30" s="226">
        <v>99.64</v>
      </c>
    </row>
    <row r="31" spans="1:23" ht="13.5" customHeight="1">
      <c r="A31" s="3"/>
      <c r="B31" s="498" t="s">
        <v>962</v>
      </c>
      <c r="C31" s="621">
        <v>0.6282558139534884</v>
      </c>
      <c r="D31" s="618">
        <f t="shared" si="1"/>
        <v>4.65</v>
      </c>
      <c r="E31" s="499">
        <f t="shared" si="2"/>
        <v>0</v>
      </c>
      <c r="F31" s="500">
        <f t="shared" si="3"/>
        <v>0</v>
      </c>
      <c r="G31" s="505">
        <f aca="true" t="shared" si="6" ref="G31:G36">(F31*7.48)</f>
        <v>0</v>
      </c>
      <c r="H31" s="506">
        <f t="shared" si="4"/>
        <v>0</v>
      </c>
      <c r="I31" s="507" t="e">
        <f t="shared" si="5"/>
        <v>#DIV/0!</v>
      </c>
      <c r="R31" s="218">
        <v>2.52</v>
      </c>
      <c r="S31" s="223">
        <f t="shared" si="0"/>
        <v>0.9987</v>
      </c>
      <c r="T31" s="219">
        <v>99.87</v>
      </c>
      <c r="V31" s="225">
        <v>2.52</v>
      </c>
      <c r="W31" s="226">
        <v>99.7</v>
      </c>
    </row>
    <row r="32" spans="1:23" ht="13.5" customHeight="1">
      <c r="A32" s="3"/>
      <c r="B32" s="498" t="s">
        <v>963</v>
      </c>
      <c r="C32" s="621">
        <v>0.2203030303030303</v>
      </c>
      <c r="D32" s="618">
        <f t="shared" si="1"/>
        <v>5.1</v>
      </c>
      <c r="E32" s="499">
        <f t="shared" si="2"/>
        <v>0</v>
      </c>
      <c r="F32" s="500">
        <f t="shared" si="3"/>
        <v>0</v>
      </c>
      <c r="G32" s="505">
        <f t="shared" si="6"/>
        <v>0</v>
      </c>
      <c r="H32" s="506">
        <f t="shared" si="4"/>
        <v>0</v>
      </c>
      <c r="I32" s="507" t="e">
        <f t="shared" si="5"/>
        <v>#DIV/0!</v>
      </c>
      <c r="R32" s="218">
        <v>2.64</v>
      </c>
      <c r="S32" s="223">
        <f t="shared" si="0"/>
        <v>0.9989</v>
      </c>
      <c r="T32" s="219">
        <v>99.89</v>
      </c>
      <c r="V32" s="225">
        <v>2.64</v>
      </c>
      <c r="W32" s="226">
        <v>99.74</v>
      </c>
    </row>
    <row r="33" spans="1:23" ht="13.5" customHeight="1">
      <c r="A33" s="3"/>
      <c r="B33" s="498" t="s">
        <v>59</v>
      </c>
      <c r="C33" s="621">
        <v>0.04972222222222222</v>
      </c>
      <c r="D33" s="618">
        <f t="shared" si="1"/>
        <v>4.96</v>
      </c>
      <c r="E33" s="499">
        <f t="shared" si="2"/>
        <v>0</v>
      </c>
      <c r="F33" s="500">
        <f t="shared" si="3"/>
        <v>0</v>
      </c>
      <c r="G33" s="505">
        <f t="shared" si="6"/>
        <v>0</v>
      </c>
      <c r="H33" s="506">
        <f t="shared" si="4"/>
        <v>0</v>
      </c>
      <c r="I33" s="507" t="e">
        <f t="shared" si="5"/>
        <v>#DIV/0!</v>
      </c>
      <c r="R33" s="218">
        <v>2.7600000000000002</v>
      </c>
      <c r="S33" s="223">
        <f t="shared" si="0"/>
        <v>0.9992</v>
      </c>
      <c r="T33" s="219">
        <v>99.92</v>
      </c>
      <c r="V33" s="225">
        <v>2.7600000000000002</v>
      </c>
      <c r="W33" s="226">
        <v>99.77</v>
      </c>
    </row>
    <row r="34" spans="1:23" ht="13.5" customHeight="1">
      <c r="A34" s="3"/>
      <c r="B34" s="498" t="s">
        <v>60</v>
      </c>
      <c r="C34" s="621">
        <v>0.1076086956521739</v>
      </c>
      <c r="D34" s="618">
        <f t="shared" si="1"/>
        <v>4.65</v>
      </c>
      <c r="E34" s="499">
        <f t="shared" si="2"/>
        <v>0</v>
      </c>
      <c r="F34" s="500">
        <f t="shared" si="3"/>
        <v>0</v>
      </c>
      <c r="G34" s="505">
        <f t="shared" si="6"/>
        <v>0</v>
      </c>
      <c r="H34" s="506">
        <f t="shared" si="4"/>
        <v>0</v>
      </c>
      <c r="I34" s="507" t="e">
        <f t="shared" si="5"/>
        <v>#DIV/0!</v>
      </c>
      <c r="R34" s="218">
        <v>2.88</v>
      </c>
      <c r="S34" s="223">
        <f t="shared" si="0"/>
        <v>0.9994</v>
      </c>
      <c r="T34" s="219">
        <v>99.94</v>
      </c>
      <c r="V34" s="225">
        <v>2.88</v>
      </c>
      <c r="W34" s="226">
        <v>99.8</v>
      </c>
    </row>
    <row r="35" spans="1:23" ht="13.5" customHeight="1">
      <c r="A35" s="3"/>
      <c r="B35" s="498" t="s">
        <v>322</v>
      </c>
      <c r="C35" s="621">
        <v>0.3703125</v>
      </c>
      <c r="D35" s="618">
        <f t="shared" si="1"/>
        <v>3.9</v>
      </c>
      <c r="E35" s="499">
        <f t="shared" si="2"/>
        <v>0</v>
      </c>
      <c r="F35" s="500">
        <f t="shared" si="3"/>
        <v>0</v>
      </c>
      <c r="G35" s="505">
        <f t="shared" si="6"/>
        <v>0</v>
      </c>
      <c r="H35" s="506">
        <f t="shared" si="4"/>
        <v>0</v>
      </c>
      <c r="I35" s="507" t="e">
        <f t="shared" si="5"/>
        <v>#DIV/0!</v>
      </c>
      <c r="R35" s="218">
        <v>3</v>
      </c>
      <c r="S35" s="223">
        <f t="shared" si="0"/>
        <v>0.9995999999999999</v>
      </c>
      <c r="T35" s="219">
        <v>99.96</v>
      </c>
      <c r="V35" s="225">
        <v>3</v>
      </c>
      <c r="W35" s="226">
        <v>99.82</v>
      </c>
    </row>
    <row r="36" spans="1:23" ht="13.5" customHeight="1">
      <c r="A36" s="3"/>
      <c r="B36" s="498" t="s">
        <v>392</v>
      </c>
      <c r="C36" s="621">
        <v>1.034639175257732</v>
      </c>
      <c r="D36" s="618">
        <f t="shared" si="1"/>
        <v>2.79</v>
      </c>
      <c r="E36" s="499">
        <f t="shared" si="2"/>
        <v>0</v>
      </c>
      <c r="F36" s="500">
        <f t="shared" si="3"/>
        <v>0</v>
      </c>
      <c r="G36" s="505">
        <f t="shared" si="6"/>
        <v>0</v>
      </c>
      <c r="H36" s="506">
        <f t="shared" si="4"/>
        <v>0</v>
      </c>
      <c r="I36" s="507" t="e">
        <f t="shared" si="5"/>
        <v>#DIV/0!</v>
      </c>
      <c r="R36" s="218">
        <v>3.12</v>
      </c>
      <c r="S36" s="223">
        <f t="shared" si="0"/>
        <v>0.9998</v>
      </c>
      <c r="T36" s="219">
        <v>99.98</v>
      </c>
      <c r="V36" s="225">
        <v>3.12</v>
      </c>
      <c r="W36" s="226">
        <v>99.84</v>
      </c>
    </row>
    <row r="37" spans="1:23" ht="13.5" customHeight="1">
      <c r="A37" s="3"/>
      <c r="B37" s="498" t="s">
        <v>393</v>
      </c>
      <c r="C37" s="621">
        <v>2.6849484536082473</v>
      </c>
      <c r="D37" s="618">
        <f t="shared" si="1"/>
        <v>1.8</v>
      </c>
      <c r="E37" s="499">
        <f t="shared" si="2"/>
        <v>0</v>
      </c>
      <c r="F37" s="500">
        <f t="shared" si="3"/>
        <v>0</v>
      </c>
      <c r="G37" s="501"/>
      <c r="H37" s="317"/>
      <c r="I37" s="502"/>
      <c r="R37" s="218">
        <v>3.24</v>
      </c>
      <c r="S37" s="223">
        <f t="shared" si="0"/>
        <v>0.9998999999999999</v>
      </c>
      <c r="T37" s="219">
        <v>99.99</v>
      </c>
      <c r="V37" s="225">
        <v>3.24</v>
      </c>
      <c r="W37" s="226">
        <v>99.86</v>
      </c>
    </row>
    <row r="38" spans="1:23" ht="13.5" customHeight="1" thickBot="1">
      <c r="A38" s="3"/>
      <c r="B38" s="508" t="s">
        <v>394</v>
      </c>
      <c r="C38" s="622">
        <v>4.083232323232323</v>
      </c>
      <c r="D38" s="619">
        <f t="shared" si="1"/>
        <v>1.24</v>
      </c>
      <c r="E38" s="509">
        <f t="shared" si="2"/>
        <v>0</v>
      </c>
      <c r="F38" s="510">
        <f t="shared" si="3"/>
        <v>0</v>
      </c>
      <c r="G38" s="511"/>
      <c r="H38" s="512"/>
      <c r="I38" s="513"/>
      <c r="R38" s="218">
        <v>3.3600000000000003</v>
      </c>
      <c r="S38" s="223">
        <f t="shared" si="0"/>
        <v>1</v>
      </c>
      <c r="T38" s="219">
        <v>100</v>
      </c>
      <c r="V38" s="225">
        <v>3.3600000000000003</v>
      </c>
      <c r="W38" s="226">
        <v>99.88</v>
      </c>
    </row>
    <row r="39" spans="1:23" ht="13.5" customHeight="1" thickBot="1" thickTop="1">
      <c r="A39" s="3"/>
      <c r="B39" s="516" t="s">
        <v>395</v>
      </c>
      <c r="C39" s="615">
        <f>SUM(C27:C38)</f>
        <v>21.90508406989932</v>
      </c>
      <c r="D39" s="616">
        <f>SUM(D27:D38)</f>
        <v>39.01</v>
      </c>
      <c r="E39" s="517">
        <f>SUM(E27:E38)</f>
        <v>0</v>
      </c>
      <c r="F39" s="518">
        <f>SUM(F27:F38)</f>
        <v>0</v>
      </c>
      <c r="G39" s="244">
        <f>SUM(G27:G38)</f>
        <v>0</v>
      </c>
      <c r="H39" s="519"/>
      <c r="I39" s="520"/>
      <c r="R39" s="229">
        <v>3.4799999999999995</v>
      </c>
      <c r="S39" s="230">
        <f t="shared" si="0"/>
        <v>1</v>
      </c>
      <c r="T39" s="231">
        <v>100</v>
      </c>
      <c r="V39" s="225">
        <v>3.4799999999999995</v>
      </c>
      <c r="W39" s="226">
        <v>99.91</v>
      </c>
    </row>
    <row r="40" spans="2:23" ht="13.5" customHeight="1">
      <c r="B40" s="523"/>
      <c r="C40" s="524"/>
      <c r="D40" s="525"/>
      <c r="E40" s="524"/>
      <c r="F40" s="526"/>
      <c r="G40" s="527"/>
      <c r="H40" s="528"/>
      <c r="I40" s="529"/>
      <c r="J40" s="524"/>
      <c r="K40" s="527"/>
      <c r="V40" s="225">
        <v>3.5999999999999996</v>
      </c>
      <c r="W40" s="226">
        <v>99.93</v>
      </c>
    </row>
    <row r="41" spans="1:23" ht="13.5" customHeight="1">
      <c r="A41" s="246" t="s">
        <v>535</v>
      </c>
      <c r="B41" s="1"/>
      <c r="C41" s="524"/>
      <c r="D41" s="525"/>
      <c r="E41" s="524"/>
      <c r="F41" s="526"/>
      <c r="G41" s="527"/>
      <c r="H41" s="528"/>
      <c r="I41" s="529"/>
      <c r="J41" s="524"/>
      <c r="K41" s="527"/>
      <c r="V41" s="225">
        <v>3.7199999999999998</v>
      </c>
      <c r="W41" s="226">
        <v>99.95</v>
      </c>
    </row>
    <row r="42" spans="1:23" ht="13.5" customHeight="1" thickBot="1">
      <c r="A42" s="1"/>
      <c r="B42" s="1"/>
      <c r="C42" s="524"/>
      <c r="D42" s="525"/>
      <c r="E42" s="524"/>
      <c r="F42" s="526"/>
      <c r="G42" s="527"/>
      <c r="H42" s="528"/>
      <c r="I42" s="529"/>
      <c r="J42" s="524"/>
      <c r="K42" s="527"/>
      <c r="V42" s="225">
        <v>3.84</v>
      </c>
      <c r="W42" s="226">
        <v>99.97</v>
      </c>
    </row>
    <row r="43" spans="1:23" ht="13.5" customHeight="1">
      <c r="A43" s="566">
        <v>11</v>
      </c>
      <c r="B43" s="308" t="s">
        <v>396</v>
      </c>
      <c r="C43" s="623"/>
      <c r="D43" s="15"/>
      <c r="E43" s="83"/>
      <c r="F43" s="83"/>
      <c r="G43" s="530"/>
      <c r="H43" s="531"/>
      <c r="I43" s="532"/>
      <c r="J43" s="524"/>
      <c r="K43" s="527"/>
      <c r="V43" s="225">
        <v>3.96</v>
      </c>
      <c r="W43" s="226">
        <v>99.98</v>
      </c>
    </row>
    <row r="44" spans="1:23" ht="13.5" customHeight="1">
      <c r="A44" s="424"/>
      <c r="B44" s="311" t="s">
        <v>887</v>
      </c>
      <c r="C44" s="624">
        <v>2.1</v>
      </c>
      <c r="D44" s="677" t="s">
        <v>895</v>
      </c>
      <c r="E44" s="678" t="s">
        <v>894</v>
      </c>
      <c r="F44" s="673"/>
      <c r="G44" s="673"/>
      <c r="H44" s="676"/>
      <c r="I44" s="533"/>
      <c r="J44" s="524"/>
      <c r="K44" s="527"/>
      <c r="V44" s="225">
        <v>4.08</v>
      </c>
      <c r="W44" s="226">
        <v>99.99</v>
      </c>
    </row>
    <row r="45" spans="1:23" ht="13.5" customHeight="1" thickBot="1">
      <c r="A45" s="566">
        <v>12</v>
      </c>
      <c r="B45" s="318" t="s">
        <v>169</v>
      </c>
      <c r="C45" s="585"/>
      <c r="D45" s="312" t="s">
        <v>893</v>
      </c>
      <c r="E45" s="288" t="s">
        <v>170</v>
      </c>
      <c r="F45" s="534"/>
      <c r="G45" s="527"/>
      <c r="H45" s="528"/>
      <c r="I45" s="533"/>
      <c r="J45" s="524"/>
      <c r="K45" s="527"/>
      <c r="V45" s="293">
        <v>4.199999999999999</v>
      </c>
      <c r="W45" s="294">
        <v>100</v>
      </c>
    </row>
    <row r="46" spans="1:11" ht="13.5" customHeight="1">
      <c r="A46" s="566">
        <v>13</v>
      </c>
      <c r="B46" s="311" t="s">
        <v>171</v>
      </c>
      <c r="C46" s="585"/>
      <c r="D46" s="314" t="s">
        <v>889</v>
      </c>
      <c r="E46" s="288" t="s">
        <v>537</v>
      </c>
      <c r="F46" s="534"/>
      <c r="G46" s="527"/>
      <c r="H46" s="528"/>
      <c r="I46" s="533"/>
      <c r="J46" s="524"/>
      <c r="K46" s="527"/>
    </row>
    <row r="47" spans="1:11" ht="13.5" customHeight="1">
      <c r="A47" s="566">
        <v>14</v>
      </c>
      <c r="B47" s="311" t="s">
        <v>172</v>
      </c>
      <c r="C47" s="585"/>
      <c r="D47" s="314" t="s">
        <v>889</v>
      </c>
      <c r="E47" s="288" t="s">
        <v>173</v>
      </c>
      <c r="F47" s="534"/>
      <c r="G47" s="527"/>
      <c r="H47" s="528"/>
      <c r="I47" s="533"/>
      <c r="J47" s="524"/>
      <c r="K47" s="527"/>
    </row>
    <row r="48" spans="1:11" ht="13.5" customHeight="1">
      <c r="A48" s="566">
        <v>15</v>
      </c>
      <c r="B48" s="535" t="s">
        <v>174</v>
      </c>
      <c r="C48" s="624">
        <v>5.1</v>
      </c>
      <c r="D48" s="7" t="s">
        <v>175</v>
      </c>
      <c r="E48" s="247" t="s">
        <v>776</v>
      </c>
      <c r="F48" s="526"/>
      <c r="G48" s="527"/>
      <c r="H48" s="528"/>
      <c r="I48" s="533"/>
      <c r="J48" s="524"/>
      <c r="K48" s="527"/>
    </row>
    <row r="49" spans="1:11" ht="13.5" customHeight="1">
      <c r="A49" s="566"/>
      <c r="B49" s="535" t="s">
        <v>1014</v>
      </c>
      <c r="C49" s="624">
        <v>3</v>
      </c>
      <c r="D49" s="7" t="s">
        <v>175</v>
      </c>
      <c r="E49" s="288"/>
      <c r="F49" s="674"/>
      <c r="G49" s="674"/>
      <c r="H49" s="675"/>
      <c r="I49" s="533"/>
      <c r="J49" s="524"/>
      <c r="K49" s="527"/>
    </row>
    <row r="50" spans="1:11" ht="13.5" customHeight="1">
      <c r="A50" s="566"/>
      <c r="B50" s="535" t="s">
        <v>1015</v>
      </c>
      <c r="C50" s="624">
        <v>0.5</v>
      </c>
      <c r="D50" s="7" t="s">
        <v>175</v>
      </c>
      <c r="E50" s="288"/>
      <c r="F50" s="674"/>
      <c r="G50" s="674"/>
      <c r="H50" s="675"/>
      <c r="I50" s="533"/>
      <c r="J50" s="524"/>
      <c r="K50" s="527"/>
    </row>
    <row r="51" spans="1:11" ht="13.5" customHeight="1">
      <c r="A51" s="566"/>
      <c r="B51" s="535" t="s">
        <v>1016</v>
      </c>
      <c r="C51" s="624">
        <v>0.2</v>
      </c>
      <c r="D51" s="7" t="s">
        <v>175</v>
      </c>
      <c r="E51" s="756" t="s">
        <v>173</v>
      </c>
      <c r="F51" s="757"/>
      <c r="G51" s="338"/>
      <c r="H51" s="560"/>
      <c r="I51" s="533"/>
      <c r="J51" s="524"/>
      <c r="K51" s="527"/>
    </row>
    <row r="52" spans="1:11" ht="13.5" customHeight="1">
      <c r="A52" s="483">
        <v>16</v>
      </c>
      <c r="B52" s="536" t="s">
        <v>1017</v>
      </c>
      <c r="C52" s="625"/>
      <c r="D52" s="248" t="s">
        <v>1018</v>
      </c>
      <c r="E52" s="761" t="s">
        <v>1019</v>
      </c>
      <c r="F52" s="762"/>
      <c r="G52" s="762"/>
      <c r="H52" s="762"/>
      <c r="I52" s="763"/>
      <c r="J52" s="524"/>
      <c r="K52" s="527"/>
    </row>
    <row r="53" spans="1:11" ht="13.5" customHeight="1">
      <c r="A53" s="425">
        <v>17</v>
      </c>
      <c r="B53" s="537" t="s">
        <v>1020</v>
      </c>
      <c r="C53" s="626">
        <v>0.3</v>
      </c>
      <c r="D53" s="2" t="s">
        <v>61</v>
      </c>
      <c r="E53" s="288" t="s">
        <v>62</v>
      </c>
      <c r="F53" s="534"/>
      <c r="G53" s="338"/>
      <c r="H53" s="560"/>
      <c r="I53" s="561"/>
      <c r="J53" s="524"/>
      <c r="K53" s="527"/>
    </row>
    <row r="54" spans="1:11" ht="13.5" customHeight="1">
      <c r="A54" s="425"/>
      <c r="B54" s="535" t="s">
        <v>63</v>
      </c>
      <c r="C54" s="626"/>
      <c r="D54" s="7" t="s">
        <v>64</v>
      </c>
      <c r="E54" s="247" t="s">
        <v>79</v>
      </c>
      <c r="F54" s="526"/>
      <c r="G54" s="527"/>
      <c r="H54" s="528"/>
      <c r="I54" s="533"/>
      <c r="J54" s="524"/>
      <c r="K54" s="527"/>
    </row>
    <row r="55" spans="1:11" ht="13.5" customHeight="1">
      <c r="A55" s="425">
        <v>18</v>
      </c>
      <c r="B55" s="537" t="s">
        <v>80</v>
      </c>
      <c r="C55" s="626"/>
      <c r="D55" s="314" t="s">
        <v>81</v>
      </c>
      <c r="E55" s="247" t="s">
        <v>450</v>
      </c>
      <c r="F55" s="526"/>
      <c r="G55" s="527"/>
      <c r="H55" s="528"/>
      <c r="I55" s="533"/>
      <c r="J55" s="524"/>
      <c r="K55" s="527"/>
    </row>
    <row r="56" spans="1:11" ht="13.5" customHeight="1">
      <c r="A56" s="566">
        <v>19</v>
      </c>
      <c r="B56" s="535" t="s">
        <v>451</v>
      </c>
      <c r="C56" s="249">
        <f>C52*(C43*C44*C48+C45*C49+C46*C50+C47*C51)+C55+(C43*C44*C53*C54)</f>
        <v>0</v>
      </c>
      <c r="D56" s="312" t="s">
        <v>452</v>
      </c>
      <c r="E56" s="524"/>
      <c r="F56" s="526"/>
      <c r="G56" s="527"/>
      <c r="H56" s="560"/>
      <c r="I56" s="561"/>
      <c r="J56" s="323"/>
      <c r="K56" s="527"/>
    </row>
    <row r="57" spans="1:11" ht="13.5" customHeight="1">
      <c r="A57" s="424"/>
      <c r="B57" s="6" t="s">
        <v>453</v>
      </c>
      <c r="C57" s="142">
        <f>(365/12)*C56</f>
        <v>0</v>
      </c>
      <c r="D57" s="2" t="s">
        <v>454</v>
      </c>
      <c r="E57" s="250"/>
      <c r="F57" s="250"/>
      <c r="G57" s="250"/>
      <c r="H57" s="420"/>
      <c r="I57" s="562"/>
      <c r="J57" s="421"/>
      <c r="K57" s="36"/>
    </row>
    <row r="58" spans="1:13" ht="13.5" customHeight="1" thickBot="1">
      <c r="A58" s="424"/>
      <c r="B58" s="319" t="s">
        <v>973</v>
      </c>
      <c r="C58" s="251">
        <f>C56*365/1000000</f>
        <v>0</v>
      </c>
      <c r="D58" s="51" t="s">
        <v>974</v>
      </c>
      <c r="E58" s="252"/>
      <c r="F58" s="252"/>
      <c r="G58" s="252"/>
      <c r="H58" s="563"/>
      <c r="I58" s="564"/>
      <c r="J58" s="421"/>
      <c r="K58" s="36"/>
      <c r="L58" s="213"/>
      <c r="M58" s="241"/>
    </row>
    <row r="59" spans="3:13" ht="13.5" customHeight="1" thickBot="1">
      <c r="C59" s="50"/>
      <c r="D59" s="2"/>
      <c r="E59" s="36"/>
      <c r="F59" s="36"/>
      <c r="G59" s="36"/>
      <c r="H59" s="420"/>
      <c r="I59" s="420"/>
      <c r="J59" s="420"/>
      <c r="K59" s="36"/>
      <c r="L59" s="242" t="s">
        <v>956</v>
      </c>
      <c r="M59" s="243" t="s">
        <v>957</v>
      </c>
    </row>
    <row r="60" spans="1:13" ht="13.5" customHeight="1">
      <c r="A60" s="246" t="s">
        <v>975</v>
      </c>
      <c r="H60" s="2"/>
      <c r="I60" s="2"/>
      <c r="J60" s="2"/>
      <c r="L60" s="503">
        <f aca="true" t="shared" si="7" ref="L60:L71">IF(E27-C27&gt;0,(E27-C27)/$C$21,0)</f>
        <v>0</v>
      </c>
      <c r="M60" s="504">
        <v>31</v>
      </c>
    </row>
    <row r="61" spans="2:13" ht="13.5" customHeight="1" thickBot="1">
      <c r="B61" s="1"/>
      <c r="H61" s="253"/>
      <c r="I61" s="2"/>
      <c r="J61" s="2"/>
      <c r="L61" s="503">
        <f t="shared" si="7"/>
        <v>0</v>
      </c>
      <c r="M61" s="504">
        <v>28</v>
      </c>
    </row>
    <row r="62" spans="1:13" ht="13.5" customHeight="1">
      <c r="A62" s="566">
        <v>20</v>
      </c>
      <c r="B62" s="5" t="s">
        <v>976</v>
      </c>
      <c r="C62" s="627"/>
      <c r="D62" s="746" t="s">
        <v>4</v>
      </c>
      <c r="E62" s="747"/>
      <c r="F62" s="747"/>
      <c r="G62" s="747"/>
      <c r="H62" s="747"/>
      <c r="I62" s="748"/>
      <c r="J62" s="702" t="s">
        <v>541</v>
      </c>
      <c r="K62" s="7"/>
      <c r="L62" s="503">
        <f t="shared" si="7"/>
        <v>0</v>
      </c>
      <c r="M62" s="504">
        <v>31</v>
      </c>
    </row>
    <row r="63" spans="1:13" ht="13.5" customHeight="1">
      <c r="A63" s="425">
        <v>21</v>
      </c>
      <c r="B63" s="318" t="s">
        <v>977</v>
      </c>
      <c r="C63" s="628"/>
      <c r="D63" s="539" t="s">
        <v>970</v>
      </c>
      <c r="E63" s="7"/>
      <c r="F63" s="312"/>
      <c r="G63" s="312"/>
      <c r="H63" s="2"/>
      <c r="I63" s="8"/>
      <c r="J63" s="312"/>
      <c r="K63" s="7"/>
      <c r="L63" s="503">
        <f t="shared" si="7"/>
        <v>0</v>
      </c>
      <c r="M63" s="504">
        <v>30</v>
      </c>
    </row>
    <row r="64" spans="1:13" ht="13.5" customHeight="1">
      <c r="A64" s="565" t="s">
        <v>971</v>
      </c>
      <c r="B64" s="287" t="s">
        <v>967</v>
      </c>
      <c r="C64" s="661"/>
      <c r="D64" s="288" t="s">
        <v>968</v>
      </c>
      <c r="E64" s="255" t="s">
        <v>969</v>
      </c>
      <c r="F64" s="312"/>
      <c r="G64" s="7"/>
      <c r="H64" s="253"/>
      <c r="I64" s="316"/>
      <c r="J64" s="253"/>
      <c r="K64" s="312"/>
      <c r="L64" s="503">
        <f t="shared" si="7"/>
        <v>0</v>
      </c>
      <c r="M64" s="504">
        <v>31</v>
      </c>
    </row>
    <row r="65" spans="1:13" ht="13.5" customHeight="1">
      <c r="A65" s="565" t="s">
        <v>971</v>
      </c>
      <c r="B65" s="287" t="s">
        <v>391</v>
      </c>
      <c r="C65" s="662"/>
      <c r="D65" s="289"/>
      <c r="E65" s="256"/>
      <c r="F65" s="7"/>
      <c r="G65" s="312"/>
      <c r="H65" s="7"/>
      <c r="I65" s="8"/>
      <c r="J65" s="7"/>
      <c r="K65" s="7"/>
      <c r="L65" s="503">
        <f t="shared" si="7"/>
        <v>0</v>
      </c>
      <c r="M65" s="504">
        <v>30</v>
      </c>
    </row>
    <row r="66" spans="1:13" ht="13.5" customHeight="1">
      <c r="A66" s="565" t="s">
        <v>971</v>
      </c>
      <c r="B66" s="287" t="s">
        <v>752</v>
      </c>
      <c r="C66" s="662"/>
      <c r="D66" s="247"/>
      <c r="E66" s="7"/>
      <c r="F66" s="7"/>
      <c r="G66" s="312"/>
      <c r="H66" s="7"/>
      <c r="I66" s="8"/>
      <c r="J66" s="7"/>
      <c r="K66" s="7"/>
      <c r="L66" s="503">
        <f t="shared" si="7"/>
        <v>0</v>
      </c>
      <c r="M66" s="504">
        <v>31</v>
      </c>
    </row>
    <row r="67" spans="1:13" ht="13.5" customHeight="1">
      <c r="A67" s="657">
        <v>22</v>
      </c>
      <c r="B67" s="658" t="s">
        <v>753</v>
      </c>
      <c r="C67" s="663"/>
      <c r="D67" s="659" t="s">
        <v>968</v>
      </c>
      <c r="E67" s="764" t="s">
        <v>539</v>
      </c>
      <c r="F67" s="762"/>
      <c r="G67" s="762"/>
      <c r="H67" s="762"/>
      <c r="I67" s="763"/>
      <c r="J67" s="2"/>
      <c r="K67" s="2"/>
      <c r="L67" s="503">
        <f t="shared" si="7"/>
        <v>0</v>
      </c>
      <c r="M67" s="504">
        <v>31</v>
      </c>
    </row>
    <row r="68" spans="1:13" ht="13.5" customHeight="1">
      <c r="A68" s="565" t="s">
        <v>971</v>
      </c>
      <c r="B68" s="287" t="s">
        <v>146</v>
      </c>
      <c r="C68" s="665" t="e">
        <f>$C$67/7.48/$C$62/$C$63*12</f>
        <v>#DIV/0!</v>
      </c>
      <c r="D68" s="247" t="s">
        <v>295</v>
      </c>
      <c r="E68" s="416"/>
      <c r="F68" s="416"/>
      <c r="G68" s="416"/>
      <c r="H68" s="416"/>
      <c r="I68" s="417"/>
      <c r="J68" s="2"/>
      <c r="K68" s="2"/>
      <c r="L68" s="503">
        <f t="shared" si="7"/>
        <v>0</v>
      </c>
      <c r="M68" s="504">
        <v>30</v>
      </c>
    </row>
    <row r="69" spans="1:13" ht="13.5" customHeight="1">
      <c r="A69" s="565" t="s">
        <v>971</v>
      </c>
      <c r="B69" s="290" t="s">
        <v>147</v>
      </c>
      <c r="C69" s="664" t="e">
        <f>VLOOKUP(C68,$R$8:$S$39,2)</f>
        <v>#DIV/0!</v>
      </c>
      <c r="D69" s="247" t="s">
        <v>57</v>
      </c>
      <c r="E69" s="416"/>
      <c r="F69" s="416"/>
      <c r="G69" s="416"/>
      <c r="H69" s="416"/>
      <c r="I69" s="417"/>
      <c r="J69" s="314"/>
      <c r="K69" s="2"/>
      <c r="L69" s="503">
        <f t="shared" si="7"/>
        <v>0</v>
      </c>
      <c r="M69" s="504">
        <v>31</v>
      </c>
    </row>
    <row r="70" spans="1:13" ht="13.5" customHeight="1">
      <c r="A70" s="424"/>
      <c r="B70" s="311" t="s">
        <v>148</v>
      </c>
      <c r="C70" s="315" t="e">
        <f>$I$91/$D$91</f>
        <v>#DIV/0!</v>
      </c>
      <c r="D70" s="539"/>
      <c r="E70" s="416"/>
      <c r="F70" s="416"/>
      <c r="G70" s="416"/>
      <c r="H70" s="416"/>
      <c r="I70" s="417"/>
      <c r="J70" s="253"/>
      <c r="K70" s="257"/>
      <c r="L70" s="503">
        <f t="shared" si="7"/>
        <v>0</v>
      </c>
      <c r="M70" s="504">
        <v>30</v>
      </c>
    </row>
    <row r="71" spans="1:13" ht="27" customHeight="1">
      <c r="A71" s="424"/>
      <c r="B71" s="540" t="s">
        <v>149</v>
      </c>
      <c r="C71" s="660" t="e">
        <f>J91/G91</f>
        <v>#DIV/0!</v>
      </c>
      <c r="D71" s="539"/>
      <c r="E71" s="416"/>
      <c r="F71" s="416"/>
      <c r="G71" s="416"/>
      <c r="H71" s="416"/>
      <c r="I71" s="417"/>
      <c r="J71" s="2"/>
      <c r="K71" s="253"/>
      <c r="L71" s="514">
        <f t="shared" si="7"/>
        <v>0</v>
      </c>
      <c r="M71" s="515">
        <v>31</v>
      </c>
    </row>
    <row r="72" spans="1:13" ht="13.5" customHeight="1" thickBot="1">
      <c r="A72" s="425">
        <v>23</v>
      </c>
      <c r="B72" s="331" t="s">
        <v>150</v>
      </c>
      <c r="C72" s="258" t="e">
        <f>IF(C70&lt;0.8,"Yes","No")</f>
        <v>#DIV/0!</v>
      </c>
      <c r="D72" s="235" t="s">
        <v>540</v>
      </c>
      <c r="E72" s="7"/>
      <c r="F72" s="7"/>
      <c r="G72" s="7"/>
      <c r="H72" s="7"/>
      <c r="I72" s="316"/>
      <c r="J72" s="7"/>
      <c r="K72" s="259"/>
      <c r="L72" s="521">
        <f>SUM(L60:L71)</f>
        <v>0</v>
      </c>
      <c r="M72" s="522">
        <f>SUM(M60:M71)</f>
        <v>365</v>
      </c>
    </row>
    <row r="73" spans="1:12" ht="13.5" customHeight="1">
      <c r="A73" s="425">
        <v>24</v>
      </c>
      <c r="B73" s="318" t="s">
        <v>151</v>
      </c>
      <c r="C73" s="629"/>
      <c r="D73" s="539" t="s">
        <v>381</v>
      </c>
      <c r="E73" s="235"/>
      <c r="F73" s="260"/>
      <c r="G73" s="7"/>
      <c r="H73" s="7"/>
      <c r="I73" s="8"/>
      <c r="J73" s="7"/>
      <c r="K73" s="7"/>
      <c r="L73" s="3"/>
    </row>
    <row r="74" spans="1:11" ht="13.5" customHeight="1" thickBot="1">
      <c r="A74" s="424"/>
      <c r="B74" s="319" t="s">
        <v>152</v>
      </c>
      <c r="C74" s="519" t="e">
        <f>C67/7.48/C73</f>
        <v>#DIV/0!</v>
      </c>
      <c r="D74" s="541" t="s">
        <v>970</v>
      </c>
      <c r="E74" s="10"/>
      <c r="F74" s="10"/>
      <c r="G74" s="10"/>
      <c r="H74" s="10"/>
      <c r="I74" s="261"/>
      <c r="J74" s="7"/>
      <c r="K74" s="7"/>
    </row>
    <row r="75" spans="1:4" ht="13.5" customHeight="1">
      <c r="A75" s="36"/>
      <c r="B75" s="44"/>
      <c r="C75" s="406"/>
      <c r="D75" s="312"/>
    </row>
    <row r="76" spans="1:3" ht="13.5" customHeight="1">
      <c r="A76" s="36"/>
      <c r="B76" s="42" t="s">
        <v>944</v>
      </c>
      <c r="C76" s="262"/>
    </row>
    <row r="77" spans="1:11" ht="13.5" customHeight="1">
      <c r="A77" s="425">
        <v>25</v>
      </c>
      <c r="B77" s="751" t="s">
        <v>933</v>
      </c>
      <c r="C77" s="263" t="s">
        <v>945</v>
      </c>
      <c r="D77" s="264"/>
      <c r="E77" s="265" t="s">
        <v>946</v>
      </c>
      <c r="F77" s="266"/>
      <c r="G77" s="265"/>
      <c r="H77" s="213" t="s">
        <v>940</v>
      </c>
      <c r="I77" s="241" t="s">
        <v>941</v>
      </c>
      <c r="J77" s="241" t="s">
        <v>942</v>
      </c>
      <c r="K77" s="241" t="s">
        <v>943</v>
      </c>
    </row>
    <row r="78" spans="1:11" ht="13.5" customHeight="1">
      <c r="A78" s="3"/>
      <c r="B78" s="752"/>
      <c r="C78" s="241" t="s">
        <v>952</v>
      </c>
      <c r="D78" s="267" t="s">
        <v>454</v>
      </c>
      <c r="E78" s="268" t="s">
        <v>387</v>
      </c>
      <c r="F78" s="304" t="s">
        <v>388</v>
      </c>
      <c r="G78" s="268" t="s">
        <v>226</v>
      </c>
      <c r="H78" s="304" t="s">
        <v>389</v>
      </c>
      <c r="I78" s="268" t="s">
        <v>390</v>
      </c>
      <c r="J78" s="269" t="s">
        <v>390</v>
      </c>
      <c r="K78" s="269" t="s">
        <v>390</v>
      </c>
    </row>
    <row r="79" spans="1:11" ht="13.5" customHeight="1">
      <c r="A79" s="3"/>
      <c r="B79" s="542" t="s">
        <v>322</v>
      </c>
      <c r="C79" s="270">
        <f>$C$62*$L$96*(C$35/12)</f>
        <v>0</v>
      </c>
      <c r="D79" s="543">
        <f aca="true" t="shared" si="8" ref="D79:D90">C79*7.48</f>
        <v>0</v>
      </c>
      <c r="E79" s="271">
        <f>F$35*7.48</f>
        <v>0</v>
      </c>
      <c r="F79" s="272">
        <f aca="true" t="shared" si="9" ref="F79:F90">$C$57</f>
        <v>0</v>
      </c>
      <c r="G79" s="271">
        <f>F79+E79</f>
        <v>0</v>
      </c>
      <c r="H79" s="273" t="e">
        <f aca="true" t="shared" si="10" ref="H79:H90">IF(L112&lt;0,0,IF(L112&gt;$C$67,$C$67,L112))</f>
        <v>#DIV/0!</v>
      </c>
      <c r="I79" s="271" t="e">
        <f>IF(G79&gt;M112,M112,H79-0+G79)</f>
        <v>#DIV/0!</v>
      </c>
      <c r="J79" s="273" t="e">
        <f>IF(M112+0&gt;G79,G79,M112+0)</f>
        <v>#DIV/0!</v>
      </c>
      <c r="K79" s="270">
        <f>IF(D79&gt;G79,D79-G79-0,0)</f>
        <v>0</v>
      </c>
    </row>
    <row r="80" spans="1:11" ht="13.5" customHeight="1">
      <c r="A80" s="3"/>
      <c r="B80" s="542" t="s">
        <v>392</v>
      </c>
      <c r="C80" s="271">
        <f>$C$62*$L$96*(C$36/12)</f>
        <v>0</v>
      </c>
      <c r="D80" s="500">
        <f t="shared" si="8"/>
        <v>0</v>
      </c>
      <c r="E80" s="271">
        <f>F$36*7.48</f>
        <v>0</v>
      </c>
      <c r="F80" s="272">
        <f t="shared" si="9"/>
        <v>0</v>
      </c>
      <c r="G80" s="271">
        <f aca="true" t="shared" si="11" ref="G80:G90">F80+E80</f>
        <v>0</v>
      </c>
      <c r="H80" s="274" t="e">
        <f t="shared" si="10"/>
        <v>#DIV/0!</v>
      </c>
      <c r="I80" s="271" t="e">
        <f aca="true" t="shared" si="12" ref="I80:I90">IF(G80&gt;M113,M113,H80-H79+G80)</f>
        <v>#DIV/0!</v>
      </c>
      <c r="J80" s="274" t="e">
        <f aca="true" t="shared" si="13" ref="J80:J90">IF(M113+H79&gt;G80,G80,M113+H79)</f>
        <v>#DIV/0!</v>
      </c>
      <c r="K80" s="271">
        <f>IF(D80&gt;G80,D80-G80-(H80-H79),0)</f>
        <v>0</v>
      </c>
    </row>
    <row r="81" spans="1:11" ht="13.5" customHeight="1">
      <c r="A81" s="3"/>
      <c r="B81" s="542" t="s">
        <v>393</v>
      </c>
      <c r="C81" s="271">
        <f>$C$62*$L$96*(C$37/12)</f>
        <v>0</v>
      </c>
      <c r="D81" s="500">
        <f t="shared" si="8"/>
        <v>0</v>
      </c>
      <c r="E81" s="271">
        <f>F$37*7.48</f>
        <v>0</v>
      </c>
      <c r="F81" s="272">
        <f t="shared" si="9"/>
        <v>0</v>
      </c>
      <c r="G81" s="271">
        <f t="shared" si="11"/>
        <v>0</v>
      </c>
      <c r="H81" s="274" t="e">
        <f t="shared" si="10"/>
        <v>#DIV/0!</v>
      </c>
      <c r="I81" s="271" t="e">
        <f t="shared" si="12"/>
        <v>#DIV/0!</v>
      </c>
      <c r="J81" s="274" t="e">
        <f t="shared" si="13"/>
        <v>#DIV/0!</v>
      </c>
      <c r="K81" s="271">
        <f>IF(D81&gt;G81,D81-G81-(H81-H80),0)</f>
        <v>0</v>
      </c>
    </row>
    <row r="82" spans="1:11" ht="13.5" customHeight="1">
      <c r="A82" s="3"/>
      <c r="B82" s="545" t="s">
        <v>394</v>
      </c>
      <c r="C82" s="275">
        <f>$C$62*$L$96*(C$38/12)</f>
        <v>0</v>
      </c>
      <c r="D82" s="546">
        <f t="shared" si="8"/>
        <v>0</v>
      </c>
      <c r="E82" s="275">
        <f>F$38*7.48</f>
        <v>0</v>
      </c>
      <c r="F82" s="275">
        <f t="shared" si="9"/>
        <v>0</v>
      </c>
      <c r="G82" s="275">
        <f t="shared" si="11"/>
        <v>0</v>
      </c>
      <c r="H82" s="276" t="e">
        <f t="shared" si="10"/>
        <v>#DIV/0!</v>
      </c>
      <c r="I82" s="275" t="e">
        <f t="shared" si="12"/>
        <v>#DIV/0!</v>
      </c>
      <c r="J82" s="276" t="e">
        <f t="shared" si="13"/>
        <v>#DIV/0!</v>
      </c>
      <c r="K82" s="275">
        <f>IF(D82&gt;G82,D82-G82-(H82-H81),0)</f>
        <v>0</v>
      </c>
    </row>
    <row r="83" spans="1:11" ht="13.5" customHeight="1">
      <c r="A83" s="3"/>
      <c r="B83" s="542" t="s">
        <v>958</v>
      </c>
      <c r="C83" s="271">
        <f>$C$62*$L$96*(C$27/12)</f>
        <v>0</v>
      </c>
      <c r="D83" s="500">
        <f t="shared" si="8"/>
        <v>0</v>
      </c>
      <c r="E83" s="271">
        <f>F$27*7.48</f>
        <v>0</v>
      </c>
      <c r="F83" s="272">
        <f t="shared" si="9"/>
        <v>0</v>
      </c>
      <c r="G83" s="271">
        <f t="shared" si="11"/>
        <v>0</v>
      </c>
      <c r="H83" s="274" t="e">
        <f t="shared" si="10"/>
        <v>#DIV/0!</v>
      </c>
      <c r="I83" s="271" t="e">
        <f t="shared" si="12"/>
        <v>#DIV/0!</v>
      </c>
      <c r="J83" s="274" t="e">
        <f t="shared" si="13"/>
        <v>#DIV/0!</v>
      </c>
      <c r="K83" s="271">
        <f>IF(D83&gt;G83,D83-G83-(H83-H82),0)</f>
        <v>0</v>
      </c>
    </row>
    <row r="84" spans="1:11" ht="13.5" customHeight="1">
      <c r="A84" s="3"/>
      <c r="B84" s="542" t="s">
        <v>959</v>
      </c>
      <c r="C84" s="271">
        <f>$C$62*$L$96*(C$28/12)</f>
        <v>0</v>
      </c>
      <c r="D84" s="500">
        <f t="shared" si="8"/>
        <v>0</v>
      </c>
      <c r="E84" s="271">
        <f>F$28*7.48</f>
        <v>0</v>
      </c>
      <c r="F84" s="272">
        <f t="shared" si="9"/>
        <v>0</v>
      </c>
      <c r="G84" s="271">
        <f t="shared" si="11"/>
        <v>0</v>
      </c>
      <c r="H84" s="274" t="e">
        <f t="shared" si="10"/>
        <v>#DIV/0!</v>
      </c>
      <c r="I84" s="271" t="e">
        <f t="shared" si="12"/>
        <v>#DIV/0!</v>
      </c>
      <c r="J84" s="274" t="e">
        <f t="shared" si="13"/>
        <v>#DIV/0!</v>
      </c>
      <c r="K84" s="271">
        <f aca="true" t="shared" si="14" ref="K84:K90">IF(D84&gt;G84,D84-G84-(H84-H83),0)</f>
        <v>0</v>
      </c>
    </row>
    <row r="85" spans="1:11" ht="13.5" customHeight="1">
      <c r="A85" s="3"/>
      <c r="B85" s="542" t="s">
        <v>960</v>
      </c>
      <c r="C85" s="271">
        <f>$C$62*$L$96*(C$29/12)</f>
        <v>0</v>
      </c>
      <c r="D85" s="500">
        <f t="shared" si="8"/>
        <v>0</v>
      </c>
      <c r="E85" s="271">
        <f>F$29*7.48</f>
        <v>0</v>
      </c>
      <c r="F85" s="272">
        <f t="shared" si="9"/>
        <v>0</v>
      </c>
      <c r="G85" s="271">
        <f t="shared" si="11"/>
        <v>0</v>
      </c>
      <c r="H85" s="274" t="e">
        <f t="shared" si="10"/>
        <v>#DIV/0!</v>
      </c>
      <c r="I85" s="271" t="e">
        <f t="shared" si="12"/>
        <v>#DIV/0!</v>
      </c>
      <c r="J85" s="274" t="e">
        <f t="shared" si="13"/>
        <v>#DIV/0!</v>
      </c>
      <c r="K85" s="271">
        <f t="shared" si="14"/>
        <v>0</v>
      </c>
    </row>
    <row r="86" spans="1:11" ht="13.5" customHeight="1">
      <c r="A86" s="3"/>
      <c r="B86" s="542" t="s">
        <v>961</v>
      </c>
      <c r="C86" s="271">
        <f>$C$62*$L$96*(C$30/12)</f>
        <v>0</v>
      </c>
      <c r="D86" s="500">
        <f t="shared" si="8"/>
        <v>0</v>
      </c>
      <c r="E86" s="271">
        <f>F$30*7.48</f>
        <v>0</v>
      </c>
      <c r="F86" s="272">
        <f t="shared" si="9"/>
        <v>0</v>
      </c>
      <c r="G86" s="271">
        <f t="shared" si="11"/>
        <v>0</v>
      </c>
      <c r="H86" s="274" t="e">
        <f t="shared" si="10"/>
        <v>#DIV/0!</v>
      </c>
      <c r="I86" s="271" t="e">
        <f t="shared" si="12"/>
        <v>#DIV/0!</v>
      </c>
      <c r="J86" s="274" t="e">
        <f t="shared" si="13"/>
        <v>#DIV/0!</v>
      </c>
      <c r="K86" s="271">
        <f t="shared" si="14"/>
        <v>0</v>
      </c>
    </row>
    <row r="87" spans="1:11" ht="13.5" customHeight="1">
      <c r="A87" s="3"/>
      <c r="B87" s="542" t="s">
        <v>962</v>
      </c>
      <c r="C87" s="271">
        <f>$C$62*$L$96*(C$31/12)</f>
        <v>0</v>
      </c>
      <c r="D87" s="500">
        <f t="shared" si="8"/>
        <v>0</v>
      </c>
      <c r="E87" s="271">
        <f>F$31*7.48</f>
        <v>0</v>
      </c>
      <c r="F87" s="272">
        <f t="shared" si="9"/>
        <v>0</v>
      </c>
      <c r="G87" s="271">
        <f t="shared" si="11"/>
        <v>0</v>
      </c>
      <c r="H87" s="274" t="e">
        <f t="shared" si="10"/>
        <v>#DIV/0!</v>
      </c>
      <c r="I87" s="271" t="e">
        <f t="shared" si="12"/>
        <v>#DIV/0!</v>
      </c>
      <c r="J87" s="274" t="e">
        <f t="shared" si="13"/>
        <v>#DIV/0!</v>
      </c>
      <c r="K87" s="271">
        <f t="shared" si="14"/>
        <v>0</v>
      </c>
    </row>
    <row r="88" spans="1:11" ht="13.5" customHeight="1">
      <c r="A88" s="3"/>
      <c r="B88" s="542" t="s">
        <v>963</v>
      </c>
      <c r="C88" s="271">
        <f>$C$62*$L$96*(C$32/12)</f>
        <v>0</v>
      </c>
      <c r="D88" s="500">
        <f t="shared" si="8"/>
        <v>0</v>
      </c>
      <c r="E88" s="271">
        <f>F$32*7.48</f>
        <v>0</v>
      </c>
      <c r="F88" s="272">
        <f t="shared" si="9"/>
        <v>0</v>
      </c>
      <c r="G88" s="271">
        <f t="shared" si="11"/>
        <v>0</v>
      </c>
      <c r="H88" s="274" t="e">
        <f t="shared" si="10"/>
        <v>#DIV/0!</v>
      </c>
      <c r="I88" s="271" t="e">
        <f t="shared" si="12"/>
        <v>#DIV/0!</v>
      </c>
      <c r="J88" s="274" t="e">
        <f t="shared" si="13"/>
        <v>#DIV/0!</v>
      </c>
      <c r="K88" s="271">
        <f t="shared" si="14"/>
        <v>0</v>
      </c>
    </row>
    <row r="89" spans="1:11" ht="13.5" customHeight="1">
      <c r="A89" s="3"/>
      <c r="B89" s="542" t="s">
        <v>59</v>
      </c>
      <c r="C89" s="271">
        <f>$C$62*$L$96*(C$33/12)</f>
        <v>0</v>
      </c>
      <c r="D89" s="500">
        <f t="shared" si="8"/>
        <v>0</v>
      </c>
      <c r="E89" s="271">
        <f>F$33*7.48</f>
        <v>0</v>
      </c>
      <c r="F89" s="272">
        <f t="shared" si="9"/>
        <v>0</v>
      </c>
      <c r="G89" s="271">
        <f t="shared" si="11"/>
        <v>0</v>
      </c>
      <c r="H89" s="274" t="e">
        <f t="shared" si="10"/>
        <v>#DIV/0!</v>
      </c>
      <c r="I89" s="271" t="e">
        <f t="shared" si="12"/>
        <v>#DIV/0!</v>
      </c>
      <c r="J89" s="274" t="e">
        <f t="shared" si="13"/>
        <v>#DIV/0!</v>
      </c>
      <c r="K89" s="271">
        <f t="shared" si="14"/>
        <v>0</v>
      </c>
    </row>
    <row r="90" spans="1:11" ht="13.5" customHeight="1">
      <c r="A90" s="3"/>
      <c r="B90" s="542" t="s">
        <v>60</v>
      </c>
      <c r="C90" s="277">
        <f>$C$62*$L$96*(C$34/12)</f>
        <v>0</v>
      </c>
      <c r="D90" s="500">
        <f t="shared" si="8"/>
        <v>0</v>
      </c>
      <c r="E90" s="271">
        <f>F$34*7.48</f>
        <v>0</v>
      </c>
      <c r="F90" s="272">
        <f t="shared" si="9"/>
        <v>0</v>
      </c>
      <c r="G90" s="271">
        <f t="shared" si="11"/>
        <v>0</v>
      </c>
      <c r="H90" s="274" t="e">
        <f t="shared" si="10"/>
        <v>#DIV/0!</v>
      </c>
      <c r="I90" s="277" t="e">
        <f t="shared" si="12"/>
        <v>#DIV/0!</v>
      </c>
      <c r="J90" s="274" t="e">
        <f t="shared" si="13"/>
        <v>#DIV/0!</v>
      </c>
      <c r="K90" s="277">
        <f t="shared" si="14"/>
        <v>0</v>
      </c>
    </row>
    <row r="91" spans="1:11" ht="13.5" customHeight="1">
      <c r="A91" s="3"/>
      <c r="B91" s="342" t="s">
        <v>395</v>
      </c>
      <c r="C91" s="278">
        <f>SUM(C79:C90)</f>
        <v>0</v>
      </c>
      <c r="D91" s="279">
        <f>SUM(D79:D90)</f>
        <v>0</v>
      </c>
      <c r="E91" s="279">
        <f>SUM(E79:E90)</f>
        <v>0</v>
      </c>
      <c r="F91" s="279">
        <f>SUM(F79:F90)</f>
        <v>0</v>
      </c>
      <c r="G91" s="280">
        <f>SUM(G79:G90)</f>
        <v>0</v>
      </c>
      <c r="H91" s="281"/>
      <c r="I91" s="280" t="e">
        <f>SUM(I79:I90)</f>
        <v>#DIV/0!</v>
      </c>
      <c r="J91" s="280" t="e">
        <f>SUM(J79:J90)</f>
        <v>#DIV/0!</v>
      </c>
      <c r="K91" s="278">
        <f>SUM(K79:K90)</f>
        <v>0</v>
      </c>
    </row>
    <row r="92" ht="13.5" customHeight="1"/>
    <row r="93" spans="1:11" ht="13.5" customHeight="1">
      <c r="A93" s="246" t="s">
        <v>725</v>
      </c>
      <c r="B93" s="4"/>
      <c r="C93" s="282"/>
      <c r="K93" s="50"/>
    </row>
    <row r="94" spans="2:9" ht="13.5" customHeight="1" thickBot="1">
      <c r="B94" s="283"/>
      <c r="C94" s="314"/>
      <c r="D94" s="314"/>
      <c r="E94" s="314"/>
      <c r="F94" s="314"/>
      <c r="G94" s="314"/>
      <c r="H94" s="314"/>
      <c r="I94" s="2"/>
    </row>
    <row r="95" spans="1:9" ht="13.5" customHeight="1">
      <c r="A95" s="425">
        <v>26</v>
      </c>
      <c r="B95" s="549" t="s">
        <v>151</v>
      </c>
      <c r="C95" s="630"/>
      <c r="D95" s="538" t="s">
        <v>381</v>
      </c>
      <c r="E95" s="15"/>
      <c r="F95" s="329"/>
      <c r="G95" s="314"/>
      <c r="H95" s="314"/>
      <c r="I95" s="2"/>
    </row>
    <row r="96" spans="1:13" ht="13.5" customHeight="1">
      <c r="A96" s="425"/>
      <c r="B96" s="550" t="s">
        <v>726</v>
      </c>
      <c r="C96" s="631"/>
      <c r="D96" s="247" t="s">
        <v>727</v>
      </c>
      <c r="E96" s="7"/>
      <c r="F96" s="313"/>
      <c r="G96" s="314"/>
      <c r="H96" s="314"/>
      <c r="I96" s="2"/>
      <c r="L96" s="254">
        <f>C63</f>
        <v>0</v>
      </c>
      <c r="M96" s="7"/>
    </row>
    <row r="97" spans="1:9" ht="13.5" customHeight="1">
      <c r="A97" s="424"/>
      <c r="B97" s="550" t="str">
        <f>IF(C96="Circular","Cistern Diameter","Cistern Length")</f>
        <v>Cistern Length</v>
      </c>
      <c r="C97" s="631"/>
      <c r="D97" s="539" t="s">
        <v>381</v>
      </c>
      <c r="E97" s="7"/>
      <c r="F97" s="313"/>
      <c r="G97" s="314"/>
      <c r="H97" s="314"/>
      <c r="I97" s="2"/>
    </row>
    <row r="98" spans="1:9" ht="13.5" customHeight="1">
      <c r="A98" s="424"/>
      <c r="B98" s="550" t="s">
        <v>177</v>
      </c>
      <c r="C98" s="631"/>
      <c r="D98" s="539" t="s">
        <v>381</v>
      </c>
      <c r="E98" s="7"/>
      <c r="F98" s="313"/>
      <c r="G98" s="314"/>
      <c r="H98" s="314"/>
      <c r="I98" s="2"/>
    </row>
    <row r="99" spans="1:9" ht="13.5" customHeight="1">
      <c r="A99" s="425">
        <v>27</v>
      </c>
      <c r="B99" s="550" t="s">
        <v>152</v>
      </c>
      <c r="C99" s="506">
        <f>IF(C96="Rectangular",C98*C97,PI()*C97^2/4)</f>
        <v>0</v>
      </c>
      <c r="D99" s="539" t="s">
        <v>970</v>
      </c>
      <c r="E99" s="7"/>
      <c r="F99" s="313"/>
      <c r="G99" s="314"/>
      <c r="H99" s="314"/>
      <c r="I99" s="2"/>
    </row>
    <row r="100" spans="1:14" ht="13.5" customHeight="1">
      <c r="A100" s="424"/>
      <c r="B100" s="551" t="s">
        <v>728</v>
      </c>
      <c r="C100" s="506">
        <f>C95*C99</f>
        <v>0</v>
      </c>
      <c r="D100" s="314" t="s">
        <v>729</v>
      </c>
      <c r="E100" s="314"/>
      <c r="F100" s="313"/>
      <c r="G100" s="314"/>
      <c r="H100" s="314"/>
      <c r="I100" s="2"/>
      <c r="L100" s="2"/>
      <c r="M100" s="2"/>
      <c r="N100" s="2"/>
    </row>
    <row r="101" spans="1:14" ht="13.5" customHeight="1">
      <c r="A101" s="424"/>
      <c r="B101" s="552" t="s">
        <v>728</v>
      </c>
      <c r="C101" s="553">
        <f>C100*7.48</f>
        <v>0</v>
      </c>
      <c r="D101" s="554" t="s">
        <v>968</v>
      </c>
      <c r="E101" s="554"/>
      <c r="F101" s="555"/>
      <c r="G101" s="314"/>
      <c r="H101" s="314"/>
      <c r="I101" s="2"/>
      <c r="L101" s="2"/>
      <c r="M101" s="2"/>
      <c r="N101" s="2"/>
    </row>
    <row r="102" spans="1:14" ht="13.5" customHeight="1">
      <c r="A102" s="425">
        <v>28</v>
      </c>
      <c r="B102" s="6" t="s">
        <v>976</v>
      </c>
      <c r="C102" s="632"/>
      <c r="D102" s="679"/>
      <c r="E102" s="314"/>
      <c r="F102" s="313"/>
      <c r="G102" s="314"/>
      <c r="H102" s="314"/>
      <c r="I102" s="2"/>
      <c r="L102" s="2"/>
      <c r="M102" s="2"/>
      <c r="N102" s="2"/>
    </row>
    <row r="103" spans="1:14" ht="13.5" customHeight="1">
      <c r="A103" s="425"/>
      <c r="B103" s="318" t="s">
        <v>977</v>
      </c>
      <c r="C103" s="633"/>
      <c r="D103" s="680" t="s">
        <v>970</v>
      </c>
      <c r="E103" s="7"/>
      <c r="F103" s="556"/>
      <c r="G103" s="557"/>
      <c r="H103" s="557"/>
      <c r="I103" s="2"/>
      <c r="L103" s="2"/>
      <c r="M103" s="2"/>
      <c r="N103" s="2"/>
    </row>
    <row r="104" spans="1:14" ht="13.5" customHeight="1">
      <c r="A104" s="565" t="s">
        <v>971</v>
      </c>
      <c r="B104" s="290" t="s">
        <v>730</v>
      </c>
      <c r="C104" s="292" t="e">
        <f>C100/C102/C103*12</f>
        <v>#DIV/0!</v>
      </c>
      <c r="D104" s="681" t="s">
        <v>295</v>
      </c>
      <c r="E104" s="557"/>
      <c r="F104" s="556"/>
      <c r="G104" s="558"/>
      <c r="H104" s="558"/>
      <c r="I104" s="2"/>
      <c r="L104" s="2"/>
      <c r="M104" s="2"/>
      <c r="N104" s="2"/>
    </row>
    <row r="105" spans="1:14" ht="13.5" customHeight="1">
      <c r="A105" s="565" t="s">
        <v>971</v>
      </c>
      <c r="B105" s="290" t="s">
        <v>147</v>
      </c>
      <c r="C105" s="291" t="e">
        <f>VLOOKUP(C104,$R$8:$S$39,2)</f>
        <v>#DIV/0!</v>
      </c>
      <c r="D105" s="255"/>
      <c r="E105" s="2"/>
      <c r="F105" s="19"/>
      <c r="G105" s="2"/>
      <c r="H105" s="2"/>
      <c r="I105" s="2"/>
      <c r="L105" s="7"/>
      <c r="M105" s="7"/>
      <c r="N105" s="7"/>
    </row>
    <row r="106" spans="1:14" ht="13.5" customHeight="1">
      <c r="A106" s="425">
        <v>29</v>
      </c>
      <c r="B106" s="311" t="s">
        <v>148</v>
      </c>
      <c r="C106" s="284" t="e">
        <f>$I$124/$D$124</f>
        <v>#DIV/0!</v>
      </c>
      <c r="D106" s="539"/>
      <c r="E106" s="7"/>
      <c r="F106" s="19"/>
      <c r="G106" s="2"/>
      <c r="H106" s="2"/>
      <c r="I106" s="2"/>
      <c r="L106" s="7"/>
      <c r="M106" s="7"/>
      <c r="N106" s="7"/>
    </row>
    <row r="107" spans="1:9" ht="27" customHeight="1" thickBot="1">
      <c r="A107" s="425"/>
      <c r="B107" s="559" t="s">
        <v>149</v>
      </c>
      <c r="C107" s="285" t="e">
        <f>J124/G124</f>
        <v>#DIV/0!</v>
      </c>
      <c r="D107" s="541"/>
      <c r="E107" s="286"/>
      <c r="F107" s="43"/>
      <c r="G107" s="2"/>
      <c r="H107" s="2"/>
      <c r="I107" s="2"/>
    </row>
    <row r="108" spans="1:7" ht="13.5" customHeight="1">
      <c r="A108" s="55"/>
      <c r="E108" s="7"/>
      <c r="F108" s="7"/>
      <c r="G108" s="7"/>
    </row>
    <row r="109" spans="1:3" ht="13.5" customHeight="1">
      <c r="A109" s="55"/>
      <c r="B109" s="42" t="s">
        <v>944</v>
      </c>
      <c r="C109" s="262"/>
    </row>
    <row r="110" spans="1:13" ht="13.5" customHeight="1">
      <c r="A110" s="425">
        <v>30</v>
      </c>
      <c r="B110" s="751" t="s">
        <v>933</v>
      </c>
      <c r="C110" s="263" t="s">
        <v>945</v>
      </c>
      <c r="D110" s="264"/>
      <c r="E110" s="265" t="s">
        <v>946</v>
      </c>
      <c r="F110" s="266"/>
      <c r="G110" s="265"/>
      <c r="H110" s="213" t="s">
        <v>940</v>
      </c>
      <c r="I110" s="241" t="s">
        <v>941</v>
      </c>
      <c r="J110" s="241" t="s">
        <v>942</v>
      </c>
      <c r="K110" s="241" t="s">
        <v>943</v>
      </c>
      <c r="L110" s="241" t="s">
        <v>385</v>
      </c>
      <c r="M110" s="241" t="s">
        <v>386</v>
      </c>
    </row>
    <row r="111" spans="1:13" ht="13.5" customHeight="1">
      <c r="A111" s="36"/>
      <c r="B111" s="752"/>
      <c r="C111" s="241" t="s">
        <v>952</v>
      </c>
      <c r="D111" s="267" t="s">
        <v>454</v>
      </c>
      <c r="E111" s="268" t="s">
        <v>387</v>
      </c>
      <c r="F111" s="304" t="s">
        <v>388</v>
      </c>
      <c r="G111" s="268" t="s">
        <v>226</v>
      </c>
      <c r="H111" s="304" t="s">
        <v>389</v>
      </c>
      <c r="I111" s="268" t="s">
        <v>390</v>
      </c>
      <c r="J111" s="269" t="s">
        <v>390</v>
      </c>
      <c r="K111" s="269" t="s">
        <v>390</v>
      </c>
      <c r="L111" s="268" t="s">
        <v>491</v>
      </c>
      <c r="M111" s="268" t="s">
        <v>755</v>
      </c>
    </row>
    <row r="112" spans="1:13" ht="13.5" customHeight="1">
      <c r="A112" s="36"/>
      <c r="B112" s="542" t="s">
        <v>322</v>
      </c>
      <c r="C112" s="270">
        <f>$C$102*$C$103*(C35/12)</f>
        <v>0</v>
      </c>
      <c r="D112" s="543">
        <f>C112*7.48</f>
        <v>0</v>
      </c>
      <c r="E112" s="271">
        <f>F$35*7.48</f>
        <v>0</v>
      </c>
      <c r="F112" s="272">
        <f aca="true" t="shared" si="15" ref="F112:F123">$C$57</f>
        <v>0</v>
      </c>
      <c r="G112" s="271">
        <f>F112+E112</f>
        <v>0</v>
      </c>
      <c r="H112" s="273" t="e">
        <f aca="true" t="shared" si="16" ref="H112:H123">IF(L146&lt;0,0,IF(L146&gt;$C$101,$C$101,L146))</f>
        <v>#DIV/0!</v>
      </c>
      <c r="I112" s="271" t="e">
        <f>IF(G112&gt;D112*C105,D112*C105,H112-0+G112)</f>
        <v>#DIV/0!</v>
      </c>
      <c r="J112" s="273" t="e">
        <f>IF(D112*C105+0&gt;G112,G112,D112*C105+0)</f>
        <v>#DIV/0!</v>
      </c>
      <c r="K112" s="270">
        <f>IF(D112&gt;G112,D112-G112-0,0)</f>
        <v>0</v>
      </c>
      <c r="L112" s="544" t="e">
        <f>0+M112-G79</f>
        <v>#DIV/0!</v>
      </c>
      <c r="M112" s="544" t="e">
        <f aca="true" t="shared" si="17" ref="M112:M123">D79*$C$69</f>
        <v>#DIV/0!</v>
      </c>
    </row>
    <row r="113" spans="1:13" ht="13.5" customHeight="1">
      <c r="A113" s="36"/>
      <c r="B113" s="542" t="s">
        <v>392</v>
      </c>
      <c r="C113" s="271">
        <f>$C$102*$C$103*(C36/12)</f>
        <v>0</v>
      </c>
      <c r="D113" s="500">
        <f aca="true" t="shared" si="18" ref="D113:D123">C113*7.48</f>
        <v>0</v>
      </c>
      <c r="E113" s="271">
        <f>F$36*7.48</f>
        <v>0</v>
      </c>
      <c r="F113" s="272">
        <f t="shared" si="15"/>
        <v>0</v>
      </c>
      <c r="G113" s="271">
        <f aca="true" t="shared" si="19" ref="G113:G123">F113+E113</f>
        <v>0</v>
      </c>
      <c r="H113" s="274" t="e">
        <f t="shared" si="16"/>
        <v>#DIV/0!</v>
      </c>
      <c r="I113" s="271" t="e">
        <f aca="true" t="shared" si="20" ref="I113:I123">IF(G113&gt;D113*$C$105,D113*$C$105,H113-H112+G113)</f>
        <v>#DIV/0!</v>
      </c>
      <c r="J113" s="274" t="e">
        <f aca="true" t="shared" si="21" ref="J113:J123">IF(D113*$C$105+H112&gt;G113,G113,D113*$C$105+H112)</f>
        <v>#DIV/0!</v>
      </c>
      <c r="K113" s="271">
        <f>IF(D113&gt;G113,D113-G113-(H113-H112),0)</f>
        <v>0</v>
      </c>
      <c r="L113" s="544" t="e">
        <f aca="true" t="shared" si="22" ref="L113:L123">H79+M113-G80</f>
        <v>#DIV/0!</v>
      </c>
      <c r="M113" s="544" t="e">
        <f t="shared" si="17"/>
        <v>#DIV/0!</v>
      </c>
    </row>
    <row r="114" spans="1:13" ht="13.5" customHeight="1">
      <c r="A114" s="36"/>
      <c r="B114" s="542" t="s">
        <v>393</v>
      </c>
      <c r="C114" s="271">
        <f>$C$102*$C$103*(C37/12)</f>
        <v>0</v>
      </c>
      <c r="D114" s="500">
        <f t="shared" si="18"/>
        <v>0</v>
      </c>
      <c r="E114" s="271">
        <f>F$37*7.48</f>
        <v>0</v>
      </c>
      <c r="F114" s="272">
        <f t="shared" si="15"/>
        <v>0</v>
      </c>
      <c r="G114" s="271">
        <f t="shared" si="19"/>
        <v>0</v>
      </c>
      <c r="H114" s="274" t="e">
        <f t="shared" si="16"/>
        <v>#DIV/0!</v>
      </c>
      <c r="I114" s="271" t="e">
        <f t="shared" si="20"/>
        <v>#DIV/0!</v>
      </c>
      <c r="J114" s="274" t="e">
        <f t="shared" si="21"/>
        <v>#DIV/0!</v>
      </c>
      <c r="K114" s="271">
        <f>IF(D114&gt;G114,D114-G114-(H114-H113),0)</f>
        <v>0</v>
      </c>
      <c r="L114" s="544" t="e">
        <f t="shared" si="22"/>
        <v>#DIV/0!</v>
      </c>
      <c r="M114" s="544" t="e">
        <f t="shared" si="17"/>
        <v>#DIV/0!</v>
      </c>
    </row>
    <row r="115" spans="1:13" ht="13.5" customHeight="1">
      <c r="A115" s="36"/>
      <c r="B115" s="545" t="s">
        <v>394</v>
      </c>
      <c r="C115" s="275">
        <f>$C$102*$C$103*(C38/12)</f>
        <v>0</v>
      </c>
      <c r="D115" s="546">
        <f t="shared" si="18"/>
        <v>0</v>
      </c>
      <c r="E115" s="275">
        <f>F$38*7.48</f>
        <v>0</v>
      </c>
      <c r="F115" s="275">
        <f t="shared" si="15"/>
        <v>0</v>
      </c>
      <c r="G115" s="275">
        <f t="shared" si="19"/>
        <v>0</v>
      </c>
      <c r="H115" s="276" t="e">
        <f t="shared" si="16"/>
        <v>#DIV/0!</v>
      </c>
      <c r="I115" s="275" t="e">
        <f t="shared" si="20"/>
        <v>#DIV/0!</v>
      </c>
      <c r="J115" s="276" t="e">
        <f t="shared" si="21"/>
        <v>#DIV/0!</v>
      </c>
      <c r="K115" s="275">
        <f>IF(D115&gt;G115,D115-G115-(H115-H114),0)</f>
        <v>0</v>
      </c>
      <c r="L115" s="547" t="e">
        <f t="shared" si="22"/>
        <v>#DIV/0!</v>
      </c>
      <c r="M115" s="547" t="e">
        <f t="shared" si="17"/>
        <v>#DIV/0!</v>
      </c>
    </row>
    <row r="116" spans="1:13" ht="13.5" customHeight="1">
      <c r="A116" s="36"/>
      <c r="B116" s="542" t="s">
        <v>958</v>
      </c>
      <c r="C116" s="271">
        <f aca="true" t="shared" si="23" ref="C116:C123">$C$102*$C$103*(C27/12)</f>
        <v>0</v>
      </c>
      <c r="D116" s="500">
        <f t="shared" si="18"/>
        <v>0</v>
      </c>
      <c r="E116" s="271">
        <f>F$27*7.48</f>
        <v>0</v>
      </c>
      <c r="F116" s="272">
        <f t="shared" si="15"/>
        <v>0</v>
      </c>
      <c r="G116" s="271">
        <f t="shared" si="19"/>
        <v>0</v>
      </c>
      <c r="H116" s="274" t="e">
        <f t="shared" si="16"/>
        <v>#DIV/0!</v>
      </c>
      <c r="I116" s="271" t="e">
        <f t="shared" si="20"/>
        <v>#DIV/0!</v>
      </c>
      <c r="J116" s="274" t="e">
        <f t="shared" si="21"/>
        <v>#DIV/0!</v>
      </c>
      <c r="K116" s="271">
        <f>IF(D116&gt;G116,D116-G116-(H116-H115),0)</f>
        <v>0</v>
      </c>
      <c r="L116" s="544" t="e">
        <f t="shared" si="22"/>
        <v>#DIV/0!</v>
      </c>
      <c r="M116" s="544" t="e">
        <f t="shared" si="17"/>
        <v>#DIV/0!</v>
      </c>
    </row>
    <row r="117" spans="1:13" ht="13.5" customHeight="1">
      <c r="A117" s="36"/>
      <c r="B117" s="542" t="s">
        <v>959</v>
      </c>
      <c r="C117" s="271">
        <f t="shared" si="23"/>
        <v>0</v>
      </c>
      <c r="D117" s="500">
        <f t="shared" si="18"/>
        <v>0</v>
      </c>
      <c r="E117" s="271">
        <f>F$28*7.48</f>
        <v>0</v>
      </c>
      <c r="F117" s="272">
        <f t="shared" si="15"/>
        <v>0</v>
      </c>
      <c r="G117" s="271">
        <f t="shared" si="19"/>
        <v>0</v>
      </c>
      <c r="H117" s="274" t="e">
        <f t="shared" si="16"/>
        <v>#DIV/0!</v>
      </c>
      <c r="I117" s="271" t="e">
        <f t="shared" si="20"/>
        <v>#DIV/0!</v>
      </c>
      <c r="J117" s="274" t="e">
        <f t="shared" si="21"/>
        <v>#DIV/0!</v>
      </c>
      <c r="K117" s="271">
        <f aca="true" t="shared" si="24" ref="K117:K123">IF(D117&gt;G117,D117-G117-(H117-H116),0)</f>
        <v>0</v>
      </c>
      <c r="L117" s="544" t="e">
        <f t="shared" si="22"/>
        <v>#DIV/0!</v>
      </c>
      <c r="M117" s="544" t="e">
        <f t="shared" si="17"/>
        <v>#DIV/0!</v>
      </c>
    </row>
    <row r="118" spans="1:13" ht="13.5" customHeight="1">
      <c r="A118" s="36"/>
      <c r="B118" s="542" t="s">
        <v>960</v>
      </c>
      <c r="C118" s="271">
        <f t="shared" si="23"/>
        <v>0</v>
      </c>
      <c r="D118" s="500">
        <f t="shared" si="18"/>
        <v>0</v>
      </c>
      <c r="E118" s="271">
        <f>F$29*7.48</f>
        <v>0</v>
      </c>
      <c r="F118" s="272">
        <f t="shared" si="15"/>
        <v>0</v>
      </c>
      <c r="G118" s="271">
        <f t="shared" si="19"/>
        <v>0</v>
      </c>
      <c r="H118" s="274" t="e">
        <f t="shared" si="16"/>
        <v>#DIV/0!</v>
      </c>
      <c r="I118" s="271" t="e">
        <f t="shared" si="20"/>
        <v>#DIV/0!</v>
      </c>
      <c r="J118" s="274" t="e">
        <f t="shared" si="21"/>
        <v>#DIV/0!</v>
      </c>
      <c r="K118" s="271">
        <f t="shared" si="24"/>
        <v>0</v>
      </c>
      <c r="L118" s="544" t="e">
        <f t="shared" si="22"/>
        <v>#DIV/0!</v>
      </c>
      <c r="M118" s="544" t="e">
        <f t="shared" si="17"/>
        <v>#DIV/0!</v>
      </c>
    </row>
    <row r="119" spans="1:13" ht="13.5" customHeight="1">
      <c r="A119" s="36"/>
      <c r="B119" s="542" t="s">
        <v>961</v>
      </c>
      <c r="C119" s="271">
        <f t="shared" si="23"/>
        <v>0</v>
      </c>
      <c r="D119" s="500">
        <f t="shared" si="18"/>
        <v>0</v>
      </c>
      <c r="E119" s="271">
        <f>F$30*7.48</f>
        <v>0</v>
      </c>
      <c r="F119" s="272">
        <f t="shared" si="15"/>
        <v>0</v>
      </c>
      <c r="G119" s="271">
        <f t="shared" si="19"/>
        <v>0</v>
      </c>
      <c r="H119" s="274" t="e">
        <f t="shared" si="16"/>
        <v>#DIV/0!</v>
      </c>
      <c r="I119" s="271" t="e">
        <f t="shared" si="20"/>
        <v>#DIV/0!</v>
      </c>
      <c r="J119" s="274" t="e">
        <f t="shared" si="21"/>
        <v>#DIV/0!</v>
      </c>
      <c r="K119" s="271">
        <f t="shared" si="24"/>
        <v>0</v>
      </c>
      <c r="L119" s="544" t="e">
        <f t="shared" si="22"/>
        <v>#DIV/0!</v>
      </c>
      <c r="M119" s="544" t="e">
        <f t="shared" si="17"/>
        <v>#DIV/0!</v>
      </c>
    </row>
    <row r="120" spans="1:13" ht="13.5" customHeight="1">
      <c r="A120" s="36"/>
      <c r="B120" s="542" t="s">
        <v>962</v>
      </c>
      <c r="C120" s="271">
        <f t="shared" si="23"/>
        <v>0</v>
      </c>
      <c r="D120" s="500">
        <f t="shared" si="18"/>
        <v>0</v>
      </c>
      <c r="E120" s="271">
        <f>F$31*7.48</f>
        <v>0</v>
      </c>
      <c r="F120" s="272">
        <f t="shared" si="15"/>
        <v>0</v>
      </c>
      <c r="G120" s="271">
        <f t="shared" si="19"/>
        <v>0</v>
      </c>
      <c r="H120" s="274" t="e">
        <f t="shared" si="16"/>
        <v>#DIV/0!</v>
      </c>
      <c r="I120" s="271" t="e">
        <f t="shared" si="20"/>
        <v>#DIV/0!</v>
      </c>
      <c r="J120" s="274" t="e">
        <f t="shared" si="21"/>
        <v>#DIV/0!</v>
      </c>
      <c r="K120" s="271">
        <f t="shared" si="24"/>
        <v>0</v>
      </c>
      <c r="L120" s="544" t="e">
        <f t="shared" si="22"/>
        <v>#DIV/0!</v>
      </c>
      <c r="M120" s="544" t="e">
        <f t="shared" si="17"/>
        <v>#DIV/0!</v>
      </c>
    </row>
    <row r="121" spans="1:13" ht="13.5" customHeight="1">
      <c r="A121" s="36"/>
      <c r="B121" s="542" t="s">
        <v>963</v>
      </c>
      <c r="C121" s="271">
        <f t="shared" si="23"/>
        <v>0</v>
      </c>
      <c r="D121" s="500">
        <f t="shared" si="18"/>
        <v>0</v>
      </c>
      <c r="E121" s="271">
        <f>F$32*7.48</f>
        <v>0</v>
      </c>
      <c r="F121" s="272">
        <f t="shared" si="15"/>
        <v>0</v>
      </c>
      <c r="G121" s="271">
        <f t="shared" si="19"/>
        <v>0</v>
      </c>
      <c r="H121" s="274" t="e">
        <f t="shared" si="16"/>
        <v>#DIV/0!</v>
      </c>
      <c r="I121" s="271" t="e">
        <f t="shared" si="20"/>
        <v>#DIV/0!</v>
      </c>
      <c r="J121" s="274" t="e">
        <f t="shared" si="21"/>
        <v>#DIV/0!</v>
      </c>
      <c r="K121" s="271">
        <f t="shared" si="24"/>
        <v>0</v>
      </c>
      <c r="L121" s="544" t="e">
        <f t="shared" si="22"/>
        <v>#DIV/0!</v>
      </c>
      <c r="M121" s="544" t="e">
        <f t="shared" si="17"/>
        <v>#DIV/0!</v>
      </c>
    </row>
    <row r="122" spans="1:13" ht="13.5" customHeight="1">
      <c r="A122" s="36"/>
      <c r="B122" s="542" t="s">
        <v>59</v>
      </c>
      <c r="C122" s="271">
        <f t="shared" si="23"/>
        <v>0</v>
      </c>
      <c r="D122" s="500">
        <f t="shared" si="18"/>
        <v>0</v>
      </c>
      <c r="E122" s="271">
        <f>F$33*7.48</f>
        <v>0</v>
      </c>
      <c r="F122" s="272">
        <f t="shared" si="15"/>
        <v>0</v>
      </c>
      <c r="G122" s="271">
        <f t="shared" si="19"/>
        <v>0</v>
      </c>
      <c r="H122" s="274" t="e">
        <f t="shared" si="16"/>
        <v>#DIV/0!</v>
      </c>
      <c r="I122" s="271" t="e">
        <f t="shared" si="20"/>
        <v>#DIV/0!</v>
      </c>
      <c r="J122" s="274" t="e">
        <f t="shared" si="21"/>
        <v>#DIV/0!</v>
      </c>
      <c r="K122" s="271">
        <f t="shared" si="24"/>
        <v>0</v>
      </c>
      <c r="L122" s="544" t="e">
        <f t="shared" si="22"/>
        <v>#DIV/0!</v>
      </c>
      <c r="M122" s="544" t="e">
        <f t="shared" si="17"/>
        <v>#DIV/0!</v>
      </c>
    </row>
    <row r="123" spans="1:13" ht="13.5" customHeight="1">
      <c r="A123" s="36"/>
      <c r="B123" s="542" t="s">
        <v>60</v>
      </c>
      <c r="C123" s="277">
        <f t="shared" si="23"/>
        <v>0</v>
      </c>
      <c r="D123" s="500">
        <f t="shared" si="18"/>
        <v>0</v>
      </c>
      <c r="E123" s="271">
        <f>F$34*7.48</f>
        <v>0</v>
      </c>
      <c r="F123" s="272">
        <f t="shared" si="15"/>
        <v>0</v>
      </c>
      <c r="G123" s="271">
        <f t="shared" si="19"/>
        <v>0</v>
      </c>
      <c r="H123" s="274" t="e">
        <f t="shared" si="16"/>
        <v>#DIV/0!</v>
      </c>
      <c r="I123" s="277" t="e">
        <f t="shared" si="20"/>
        <v>#DIV/0!</v>
      </c>
      <c r="J123" s="274" t="e">
        <f t="shared" si="21"/>
        <v>#DIV/0!</v>
      </c>
      <c r="K123" s="277">
        <f t="shared" si="24"/>
        <v>0</v>
      </c>
      <c r="L123" s="544" t="e">
        <f t="shared" si="22"/>
        <v>#DIV/0!</v>
      </c>
      <c r="M123" s="544" t="e">
        <f t="shared" si="17"/>
        <v>#DIV/0!</v>
      </c>
    </row>
    <row r="124" spans="1:13" ht="13.5" customHeight="1">
      <c r="A124" s="36"/>
      <c r="B124" s="342" t="s">
        <v>395</v>
      </c>
      <c r="C124" s="278">
        <f>SUM(C112:C123)</f>
        <v>0</v>
      </c>
      <c r="D124" s="279">
        <f>SUM(D112:D123)</f>
        <v>0</v>
      </c>
      <c r="E124" s="279">
        <f>SUM(E112:E123)</f>
        <v>0</v>
      </c>
      <c r="F124" s="279">
        <f>SUM(F112:F123)</f>
        <v>0</v>
      </c>
      <c r="G124" s="280">
        <f>SUM(G112:G123)</f>
        <v>0</v>
      </c>
      <c r="H124" s="281"/>
      <c r="I124" s="280" t="e">
        <f>SUM(I112:I123)</f>
        <v>#DIV/0!</v>
      </c>
      <c r="J124" s="280" t="e">
        <f>SUM(J112:J123)</f>
        <v>#DIV/0!</v>
      </c>
      <c r="K124" s="278">
        <f>SUM(K112:K123)</f>
        <v>0</v>
      </c>
      <c r="L124" s="548"/>
      <c r="M124" s="548"/>
    </row>
    <row r="125" ht="15.75" customHeight="1"/>
    <row r="126" ht="16.5" customHeight="1"/>
    <row r="127" ht="26.25" customHeight="1"/>
    <row r="134" ht="13.5" customHeight="1"/>
    <row r="135" ht="14.25" customHeight="1"/>
    <row r="139" ht="26.25" customHeight="1"/>
    <row r="144" ht="12.75">
      <c r="L144" s="241" t="s">
        <v>385</v>
      </c>
    </row>
    <row r="145" ht="12.75">
      <c r="L145" s="268" t="s">
        <v>491</v>
      </c>
    </row>
    <row r="146" ht="12.75">
      <c r="L146" s="544" t="e">
        <f>0+D112*C105-G112</f>
        <v>#DIV/0!</v>
      </c>
    </row>
    <row r="147" ht="12.75">
      <c r="L147" s="544" t="e">
        <f aca="true" t="shared" si="25" ref="L147:L157">H112+D113*$C$105-G113</f>
        <v>#DIV/0!</v>
      </c>
    </row>
    <row r="148" ht="12.75">
      <c r="L148" s="544" t="e">
        <f t="shared" si="25"/>
        <v>#DIV/0!</v>
      </c>
    </row>
    <row r="149" ht="12.75">
      <c r="L149" s="547" t="e">
        <f t="shared" si="25"/>
        <v>#DIV/0!</v>
      </c>
    </row>
    <row r="150" ht="26.25" customHeight="1">
      <c r="L150" s="544" t="e">
        <f t="shared" si="25"/>
        <v>#DIV/0!</v>
      </c>
    </row>
    <row r="151" ht="12.75">
      <c r="L151" s="544" t="e">
        <f t="shared" si="25"/>
        <v>#DIV/0!</v>
      </c>
    </row>
    <row r="152" ht="12.75">
      <c r="L152" s="544" t="e">
        <f t="shared" si="25"/>
        <v>#DIV/0!</v>
      </c>
    </row>
    <row r="153" ht="12.75">
      <c r="L153" s="544" t="e">
        <f t="shared" si="25"/>
        <v>#DIV/0!</v>
      </c>
    </row>
    <row r="154" ht="12.75">
      <c r="L154" s="544" t="e">
        <f t="shared" si="25"/>
        <v>#DIV/0!</v>
      </c>
    </row>
    <row r="155" ht="12.75">
      <c r="L155" s="544" t="e">
        <f t="shared" si="25"/>
        <v>#DIV/0!</v>
      </c>
    </row>
    <row r="156" ht="12.75">
      <c r="L156" s="544" t="e">
        <f t="shared" si="25"/>
        <v>#DIV/0!</v>
      </c>
    </row>
    <row r="157" ht="26.25" customHeight="1">
      <c r="L157" s="544" t="e">
        <f t="shared" si="25"/>
        <v>#DIV/0!</v>
      </c>
    </row>
    <row r="158" ht="12.75">
      <c r="L158" s="548"/>
    </row>
    <row r="160" spans="18:19" ht="12.75">
      <c r="R160" s="221">
        <v>3.3</v>
      </c>
      <c r="S160" s="221">
        <v>3.9</v>
      </c>
    </row>
    <row r="161" spans="18:19" ht="12.75">
      <c r="R161" s="221">
        <v>4.03</v>
      </c>
      <c r="S161" s="221">
        <v>4.65</v>
      </c>
    </row>
    <row r="162" spans="18:19" ht="12.75">
      <c r="R162" s="221">
        <v>4.5</v>
      </c>
      <c r="S162" s="221">
        <v>5.1</v>
      </c>
    </row>
    <row r="163" spans="18:19" ht="12.75">
      <c r="R163" s="221">
        <v>4.65</v>
      </c>
      <c r="S163" s="221">
        <v>4.96</v>
      </c>
    </row>
    <row r="164" spans="18:19" ht="15.75" customHeight="1">
      <c r="R164" s="221">
        <v>4.03</v>
      </c>
      <c r="S164" s="221">
        <v>4.65</v>
      </c>
    </row>
    <row r="165" spans="18:19" ht="12.75">
      <c r="R165" s="221">
        <v>3.3</v>
      </c>
      <c r="S165" s="221">
        <v>3.9</v>
      </c>
    </row>
    <row r="166" spans="18:19" ht="12.75">
      <c r="R166" s="221">
        <v>2.48</v>
      </c>
      <c r="S166" s="221">
        <v>2.79</v>
      </c>
    </row>
    <row r="167" spans="18:19" ht="12.75">
      <c r="R167" s="221">
        <v>1.2</v>
      </c>
      <c r="S167" s="221">
        <v>1.8</v>
      </c>
    </row>
    <row r="168" spans="18:19" ht="12.75">
      <c r="R168" s="221">
        <v>0.62</v>
      </c>
      <c r="S168" s="221">
        <v>1.24</v>
      </c>
    </row>
    <row r="169" spans="18:19" ht="12.75">
      <c r="R169" s="36">
        <v>32.9</v>
      </c>
      <c r="S169" s="227">
        <v>39</v>
      </c>
    </row>
    <row r="170" spans="18:19" ht="12.75">
      <c r="R170" s="36"/>
      <c r="S170" s="36"/>
    </row>
  </sheetData>
  <sheetProtection password="D24B" sheet="1" selectLockedCells="1"/>
  <mergeCells count="10">
    <mergeCell ref="D13:I13"/>
    <mergeCell ref="D62:I62"/>
    <mergeCell ref="J15:J17"/>
    <mergeCell ref="B110:B111"/>
    <mergeCell ref="D15:I15"/>
    <mergeCell ref="E51:F51"/>
    <mergeCell ref="B24:B26"/>
    <mergeCell ref="B77:B78"/>
    <mergeCell ref="E52:I52"/>
    <mergeCell ref="E67:I67"/>
  </mergeCells>
  <dataValidations count="3">
    <dataValidation type="list" allowBlank="1" showInputMessage="1" showErrorMessage="1" sqref="C22">
      <formula1>"Western SF, Eastern SF"</formula1>
    </dataValidation>
    <dataValidation showInputMessage="1" sqref="C52"/>
    <dataValidation type="list" allowBlank="1" showInputMessage="1" showErrorMessage="1" sqref="C96">
      <formula1>"Circular, Rectangular"</formula1>
    </dataValidation>
  </dataValidations>
  <hyperlinks>
    <hyperlink ref="J13" r:id="rId1" display="Link to CIMIS"/>
    <hyperlink ref="J15" r:id="rId2" display="Link to Guide"/>
    <hyperlink ref="J62" r:id="rId3" display="Link to SDG"/>
  </hyperlinks>
  <printOptions/>
  <pageMargins left="0.5" right="0.5" top="0.35" bottom="0.4" header="0.35" footer="0.4"/>
  <pageSetup fitToHeight="0" fitToWidth="1" horizontalDpi="300" verticalDpi="300" orientation="landscape" scale="75" r:id="rId6"/>
  <headerFooter alignWithMargins="0">
    <oddFooter>&amp;L&amp;8November 2011 Version</oddFooter>
  </headerFooter>
  <rowBreaks count="3" manualBreakCount="3">
    <brk id="40" max="10" man="1"/>
    <brk id="92" max="10" man="1"/>
    <brk id="125" max="10" man="1"/>
  </rowBreaks>
  <drawing r:id="rId5"/>
  <legacyDrawing r:id="rId4"/>
</worksheet>
</file>

<file path=xl/worksheets/sheet2.xml><?xml version="1.0" encoding="utf-8"?>
<worksheet xmlns="http://schemas.openxmlformats.org/spreadsheetml/2006/main" xmlns:r="http://schemas.openxmlformats.org/officeDocument/2006/relationships">
  <sheetPr codeName="Sheet2">
    <tabColor indexed="50"/>
    <pageSetUpPr fitToPage="1"/>
  </sheetPr>
  <dimension ref="A1:H84"/>
  <sheetViews>
    <sheetView zoomScaleSheetLayoutView="100" zoomScalePageLayoutView="0" workbookViewId="0" topLeftCell="A1">
      <selection activeCell="C10" sqref="C10"/>
    </sheetView>
  </sheetViews>
  <sheetFormatPr defaultColWidth="8.8515625" defaultRowHeight="12.75"/>
  <cols>
    <col min="1" max="1" width="9.7109375" style="0" customWidth="1"/>
    <col min="2" max="2" width="37.421875" style="0" customWidth="1"/>
    <col min="3" max="3" width="11.57421875" style="0" bestFit="1" customWidth="1"/>
    <col min="4" max="4" width="1.28515625" style="0" customWidth="1"/>
    <col min="5" max="5" width="41.7109375" style="0" customWidth="1"/>
    <col min="8" max="8" width="57.7109375" style="0" customWidth="1"/>
  </cols>
  <sheetData>
    <row r="1" ht="15.75" customHeight="1">
      <c r="A1" s="39" t="s">
        <v>261</v>
      </c>
    </row>
    <row r="2" ht="12.75">
      <c r="A2" t="s">
        <v>586</v>
      </c>
    </row>
    <row r="8" ht="12.75">
      <c r="A8" s="1" t="s">
        <v>666</v>
      </c>
    </row>
    <row r="9" spans="1:2" ht="13.5" thickBot="1">
      <c r="A9" s="1" t="s">
        <v>259</v>
      </c>
      <c r="B9" s="1"/>
    </row>
    <row r="10" spans="1:6" ht="12.75">
      <c r="A10" s="425">
        <v>1</v>
      </c>
      <c r="B10" s="5" t="s">
        <v>519</v>
      </c>
      <c r="C10" s="584"/>
      <c r="D10" s="15"/>
      <c r="E10" s="16" t="s">
        <v>213</v>
      </c>
      <c r="F10" s="7"/>
    </row>
    <row r="11" spans="1:6" ht="12.75">
      <c r="A11" s="425">
        <v>2</v>
      </c>
      <c r="B11" s="6" t="s">
        <v>292</v>
      </c>
      <c r="C11" s="602">
        <v>0.35</v>
      </c>
      <c r="D11" s="7"/>
      <c r="E11" s="73" t="s">
        <v>678</v>
      </c>
      <c r="F11" s="7"/>
    </row>
    <row r="12" spans="1:6" ht="12.75">
      <c r="A12" s="425">
        <v>3</v>
      </c>
      <c r="B12" s="72" t="s">
        <v>270</v>
      </c>
      <c r="C12" s="585"/>
      <c r="D12" s="7"/>
      <c r="E12" s="73" t="s">
        <v>605</v>
      </c>
      <c r="F12" s="7"/>
    </row>
    <row r="13" spans="1:6" ht="12.75">
      <c r="A13" s="425"/>
      <c r="B13" s="72" t="s">
        <v>409</v>
      </c>
      <c r="C13" s="602">
        <v>2</v>
      </c>
      <c r="D13" s="7"/>
      <c r="E13" s="73" t="s">
        <v>444</v>
      </c>
      <c r="F13" s="7"/>
    </row>
    <row r="14" spans="1:6" ht="12.75">
      <c r="A14" s="425"/>
      <c r="B14" s="6" t="s">
        <v>285</v>
      </c>
      <c r="C14" s="602">
        <v>2</v>
      </c>
      <c r="D14" s="7"/>
      <c r="E14" s="8" t="s">
        <v>240</v>
      </c>
      <c r="F14" s="7"/>
    </row>
    <row r="15" spans="1:6" ht="12.75">
      <c r="A15" s="425"/>
      <c r="B15" s="84" t="s">
        <v>514</v>
      </c>
      <c r="C15" s="602">
        <v>48</v>
      </c>
      <c r="D15" s="7"/>
      <c r="E15" s="73" t="s">
        <v>768</v>
      </c>
      <c r="F15" s="7"/>
    </row>
    <row r="16" spans="1:6" ht="13.5" thickBot="1">
      <c r="A16" s="425">
        <v>4</v>
      </c>
      <c r="B16" s="17" t="s">
        <v>284</v>
      </c>
      <c r="C16" s="586"/>
      <c r="D16" s="10"/>
      <c r="E16" s="127" t="s">
        <v>635</v>
      </c>
      <c r="F16" s="7"/>
    </row>
    <row r="17" spans="1:6" ht="13.5" thickBot="1">
      <c r="A17" s="466"/>
      <c r="F17" s="2"/>
    </row>
    <row r="18" spans="1:6" ht="12.75">
      <c r="A18" s="425">
        <v>5</v>
      </c>
      <c r="B18" s="96" t="s">
        <v>906</v>
      </c>
      <c r="C18" s="81">
        <f>IF(C12/C13*C15/12/C11&lt;C16-4,ROUND(C12/C13*C15/12/C11,1),ROUND(C16-4,1))</f>
        <v>-4</v>
      </c>
      <c r="D18" s="83"/>
      <c r="E18" s="144" t="s">
        <v>606</v>
      </c>
      <c r="F18" s="2"/>
    </row>
    <row r="19" spans="1:6" ht="12.75">
      <c r="A19" s="425"/>
      <c r="B19" s="84" t="s">
        <v>58</v>
      </c>
      <c r="C19" s="585"/>
      <c r="D19" s="2"/>
      <c r="E19" s="74" t="s">
        <v>765</v>
      </c>
      <c r="F19" s="2"/>
    </row>
    <row r="20" spans="1:6" ht="13.5" thickBot="1">
      <c r="A20" s="425"/>
      <c r="B20" s="52" t="s">
        <v>859</v>
      </c>
      <c r="C20" s="118" t="str">
        <f>IF(AND(C19&lt;=C18,C19&lt;=8),"Okay","Error, reduce depth")</f>
        <v>Error, reduce depth</v>
      </c>
      <c r="D20" s="51"/>
      <c r="E20" s="43"/>
      <c r="F20" s="2"/>
    </row>
    <row r="21" spans="1:6" ht="13.5" thickBot="1">
      <c r="A21" s="466"/>
      <c r="F21" s="2"/>
    </row>
    <row r="22" spans="1:6" ht="12.75">
      <c r="A22" s="425">
        <v>6</v>
      </c>
      <c r="B22" s="137" t="s">
        <v>665</v>
      </c>
      <c r="C22" s="205" t="e">
        <f>$C$10/(($C$11*$C$19)+(($C$12/C13*$C$14)/12))</f>
        <v>#DIV/0!</v>
      </c>
      <c r="D22" s="83"/>
      <c r="E22" s="33" t="s">
        <v>208</v>
      </c>
      <c r="F22" s="2"/>
    </row>
    <row r="23" spans="1:6" ht="13.5" thickBot="1">
      <c r="A23" s="425">
        <v>7</v>
      </c>
      <c r="B23" s="9" t="s">
        <v>631</v>
      </c>
      <c r="C23" s="586"/>
      <c r="D23" s="10"/>
      <c r="E23" s="124" t="s">
        <v>490</v>
      </c>
      <c r="F23" s="2"/>
    </row>
    <row r="24" spans="1:6" ht="13.5" thickBot="1">
      <c r="A24" s="466"/>
      <c r="F24" s="2"/>
    </row>
    <row r="25" spans="1:5" ht="12.75">
      <c r="A25" s="425">
        <v>8</v>
      </c>
      <c r="B25" s="137" t="s">
        <v>632</v>
      </c>
      <c r="C25" s="86"/>
      <c r="D25" s="83"/>
      <c r="E25" s="33"/>
    </row>
    <row r="26" spans="1:8" ht="12.75">
      <c r="A26" s="425"/>
      <c r="B26" s="84" t="s">
        <v>636</v>
      </c>
      <c r="C26" s="92">
        <f>C19</f>
        <v>0</v>
      </c>
      <c r="D26" s="2"/>
      <c r="E26" s="19" t="s">
        <v>635</v>
      </c>
      <c r="H26" s="7"/>
    </row>
    <row r="27" spans="1:8" ht="12.75">
      <c r="A27" s="425"/>
      <c r="B27" s="47" t="s">
        <v>633</v>
      </c>
      <c r="C27" s="93">
        <f>C23</f>
        <v>0</v>
      </c>
      <c r="D27" s="2"/>
      <c r="E27" s="19" t="s">
        <v>635</v>
      </c>
      <c r="H27" s="7"/>
    </row>
    <row r="28" spans="1:8" ht="13.5" thickBot="1">
      <c r="A28" s="425"/>
      <c r="B28" s="17" t="s">
        <v>634</v>
      </c>
      <c r="C28" s="94" t="e">
        <f>C22/C23</f>
        <v>#DIV/0!</v>
      </c>
      <c r="D28" s="51"/>
      <c r="E28" s="43" t="s">
        <v>635</v>
      </c>
      <c r="H28" s="7"/>
    </row>
    <row r="29" spans="1:8" ht="13.5" thickBot="1">
      <c r="A29" s="425"/>
      <c r="B29" s="21" t="s">
        <v>910</v>
      </c>
      <c r="C29" s="95" t="e">
        <f>((C22/PI())^0.5)*2</f>
        <v>#DIV/0!</v>
      </c>
      <c r="D29" s="85"/>
      <c r="E29" s="68" t="s">
        <v>635</v>
      </c>
      <c r="H29" s="7"/>
    </row>
    <row r="30" spans="1:8" ht="12.75" hidden="1">
      <c r="A30" s="425"/>
      <c r="B30" s="143" t="s">
        <v>551</v>
      </c>
      <c r="C30" s="50">
        <f>C10/0.9/(0.75/12)</f>
        <v>0</v>
      </c>
      <c r="D30" s="35"/>
      <c r="E30" s="143" t="s">
        <v>553</v>
      </c>
      <c r="H30" s="7"/>
    </row>
    <row r="31" spans="1:8" ht="12.75" hidden="1">
      <c r="A31" s="425"/>
      <c r="B31" s="35" t="s">
        <v>552</v>
      </c>
      <c r="C31" s="179" t="e">
        <f>C22/C30</f>
        <v>#DIV/0!</v>
      </c>
      <c r="H31" s="7"/>
    </row>
    <row r="32" spans="1:8" ht="12.75">
      <c r="A32" s="466"/>
      <c r="H32" s="7"/>
    </row>
    <row r="33" spans="1:8" ht="13.5" thickBot="1">
      <c r="A33" s="232" t="s">
        <v>260</v>
      </c>
      <c r="H33" s="7"/>
    </row>
    <row r="34" spans="1:8" ht="12.75">
      <c r="A34" s="425">
        <v>9</v>
      </c>
      <c r="B34" s="5" t="s">
        <v>790</v>
      </c>
      <c r="C34" s="587"/>
      <c r="D34" s="15"/>
      <c r="E34" s="16" t="s">
        <v>635</v>
      </c>
      <c r="H34" s="7"/>
    </row>
    <row r="35" spans="1:8" ht="12.75">
      <c r="A35" s="425">
        <v>10</v>
      </c>
      <c r="B35" s="6" t="s">
        <v>297</v>
      </c>
      <c r="C35" s="585"/>
      <c r="D35" s="7"/>
      <c r="E35" s="73" t="s">
        <v>487</v>
      </c>
      <c r="H35" s="7"/>
    </row>
    <row r="36" spans="1:8" ht="12.75">
      <c r="A36" s="425">
        <v>11</v>
      </c>
      <c r="B36" s="6" t="s">
        <v>292</v>
      </c>
      <c r="C36" s="585"/>
      <c r="D36" s="7"/>
      <c r="E36" s="8" t="s">
        <v>291</v>
      </c>
      <c r="H36" s="7"/>
    </row>
    <row r="37" spans="1:8" ht="12.75">
      <c r="A37" s="425">
        <v>12</v>
      </c>
      <c r="B37" s="72" t="s">
        <v>270</v>
      </c>
      <c r="C37" s="585"/>
      <c r="D37" s="7"/>
      <c r="E37" s="73" t="s">
        <v>605</v>
      </c>
      <c r="H37" s="7"/>
    </row>
    <row r="38" spans="1:8" ht="12.75">
      <c r="A38" s="425"/>
      <c r="B38" s="72" t="s">
        <v>409</v>
      </c>
      <c r="C38" s="602">
        <v>2</v>
      </c>
      <c r="D38" s="7"/>
      <c r="E38" s="73" t="s">
        <v>444</v>
      </c>
      <c r="H38" s="7"/>
    </row>
    <row r="39" spans="1:8" ht="12.75">
      <c r="A39" s="425"/>
      <c r="B39" s="6" t="s">
        <v>293</v>
      </c>
      <c r="C39" s="602">
        <v>2</v>
      </c>
      <c r="D39" s="7"/>
      <c r="E39" s="8" t="s">
        <v>240</v>
      </c>
      <c r="H39" s="7"/>
    </row>
    <row r="40" spans="1:8" ht="12.75">
      <c r="A40" s="425"/>
      <c r="B40" s="84" t="s">
        <v>515</v>
      </c>
      <c r="C40" s="602">
        <v>48</v>
      </c>
      <c r="D40" s="7"/>
      <c r="E40" s="73" t="s">
        <v>768</v>
      </c>
      <c r="H40" s="7"/>
    </row>
    <row r="41" spans="1:8" ht="13.5" thickBot="1">
      <c r="A41" s="425">
        <v>13</v>
      </c>
      <c r="B41" s="17" t="s">
        <v>284</v>
      </c>
      <c r="C41" s="586"/>
      <c r="D41" s="10"/>
      <c r="E41" s="127" t="s">
        <v>635</v>
      </c>
      <c r="H41" s="7"/>
    </row>
    <row r="42" spans="1:8" ht="13.5" thickBot="1">
      <c r="A42" s="466"/>
      <c r="H42" s="7"/>
    </row>
    <row r="43" spans="1:8" ht="12.75">
      <c r="A43" s="425">
        <v>14</v>
      </c>
      <c r="B43" s="79" t="s">
        <v>906</v>
      </c>
      <c r="C43" s="81" t="e">
        <f>IF(C37/C38*C40/12/C36&lt;C41-4,ROUND(C37/C38*C40/12/C36,1),ROUND(C41-4,1))</f>
        <v>#DIV/0!</v>
      </c>
      <c r="D43" s="15"/>
      <c r="E43" s="123" t="s">
        <v>662</v>
      </c>
      <c r="H43" s="7"/>
    </row>
    <row r="44" spans="1:8" ht="12.75">
      <c r="A44" s="425"/>
      <c r="B44" s="84" t="s">
        <v>58</v>
      </c>
      <c r="C44" s="585"/>
      <c r="D44" s="2"/>
      <c r="E44" s="74" t="s">
        <v>765</v>
      </c>
      <c r="H44" s="7"/>
    </row>
    <row r="45" spans="1:8" ht="13.5" thickBot="1">
      <c r="A45" s="425"/>
      <c r="B45" s="52" t="s">
        <v>859</v>
      </c>
      <c r="C45" s="118" t="e">
        <f>IF(AND(C44&lt;=C43,C44&lt;=8),"Okay","Error, reduce depth")</f>
        <v>#DIV/0!</v>
      </c>
      <c r="D45" s="51"/>
      <c r="E45" s="43"/>
      <c r="H45" s="7"/>
    </row>
    <row r="46" spans="1:8" ht="13.5" thickBot="1">
      <c r="A46" s="466"/>
      <c r="H46" s="7"/>
    </row>
    <row r="47" spans="1:8" ht="13.5" thickBot="1">
      <c r="A47" s="425">
        <v>15</v>
      </c>
      <c r="B47" s="97" t="s">
        <v>351</v>
      </c>
      <c r="C47" s="91">
        <f>$C$34*$C$35*(($C$36*$C$44)+($C$37/C38*$C$39/12))</f>
        <v>0</v>
      </c>
      <c r="D47" s="85"/>
      <c r="E47" s="68" t="s">
        <v>213</v>
      </c>
      <c r="H47" s="7"/>
    </row>
    <row r="48" spans="1:8" ht="13.5" thickBot="1">
      <c r="A48" s="76"/>
      <c r="B48" s="97" t="s">
        <v>352</v>
      </c>
      <c r="C48" s="91">
        <f>PI()*((C34/2)^2)*(($C$36*$C$44)+($C$37/2*$C$39/12))</f>
        <v>0</v>
      </c>
      <c r="D48" s="85"/>
      <c r="E48" s="68" t="s">
        <v>213</v>
      </c>
      <c r="H48" s="7"/>
    </row>
    <row r="49" ht="12.75">
      <c r="H49" s="7"/>
    </row>
    <row r="50" ht="12.75">
      <c r="A50" s="1" t="s">
        <v>663</v>
      </c>
    </row>
    <row r="51" ht="12.75">
      <c r="A51" s="44" t="s">
        <v>615</v>
      </c>
    </row>
    <row r="53" ht="12.75">
      <c r="A53" s="1" t="s">
        <v>996</v>
      </c>
    </row>
    <row r="54" ht="12.75">
      <c r="A54" s="55" t="s">
        <v>584</v>
      </c>
    </row>
    <row r="55" spans="1:8" ht="12.75">
      <c r="A55" s="483">
        <v>1</v>
      </c>
      <c r="B55" s="148" t="s">
        <v>834</v>
      </c>
      <c r="C55" s="149"/>
      <c r="D55" s="149"/>
      <c r="E55" s="149"/>
      <c r="F55" s="149"/>
      <c r="G55" s="149"/>
      <c r="H55" s="149"/>
    </row>
    <row r="56" spans="1:8" ht="12.75">
      <c r="A56" s="483">
        <v>2</v>
      </c>
      <c r="B56" s="149" t="s">
        <v>922</v>
      </c>
      <c r="C56" s="149"/>
      <c r="D56" s="149"/>
      <c r="E56" s="149"/>
      <c r="F56" s="149"/>
      <c r="G56" s="149"/>
      <c r="H56" s="149"/>
    </row>
    <row r="57" spans="1:8" ht="39.75" customHeight="1">
      <c r="A57" s="483">
        <v>3</v>
      </c>
      <c r="B57" s="729" t="s">
        <v>187</v>
      </c>
      <c r="C57" s="718"/>
      <c r="D57" s="718"/>
      <c r="E57" s="718"/>
      <c r="F57" s="718"/>
      <c r="G57" s="718"/>
      <c r="H57" s="718"/>
    </row>
    <row r="58" spans="1:8" ht="12.75">
      <c r="A58" s="483">
        <v>4</v>
      </c>
      <c r="B58" s="148" t="s">
        <v>764</v>
      </c>
      <c r="C58" s="149"/>
      <c r="D58" s="149"/>
      <c r="E58" s="149"/>
      <c r="F58" s="149"/>
      <c r="G58" s="149"/>
      <c r="H58" s="148"/>
    </row>
    <row r="59" spans="1:8" ht="12.75">
      <c r="A59" s="483">
        <v>5</v>
      </c>
      <c r="B59" s="149" t="s">
        <v>239</v>
      </c>
      <c r="C59" s="149"/>
      <c r="D59" s="149"/>
      <c r="E59" s="149"/>
      <c r="F59" s="149"/>
      <c r="G59" s="149"/>
      <c r="H59" s="149"/>
    </row>
    <row r="60" spans="1:8" ht="12.75">
      <c r="A60" s="483">
        <v>6</v>
      </c>
      <c r="B60" s="149" t="s">
        <v>26</v>
      </c>
      <c r="C60" s="149"/>
      <c r="D60" s="149"/>
      <c r="E60" s="149"/>
      <c r="F60" s="149"/>
      <c r="G60" s="149"/>
      <c r="H60" s="149"/>
    </row>
    <row r="61" spans="1:8" ht="12.75">
      <c r="A61" s="483">
        <v>7</v>
      </c>
      <c r="B61" s="149" t="s">
        <v>262</v>
      </c>
      <c r="C61" s="149"/>
      <c r="D61" s="149"/>
      <c r="E61" s="149"/>
      <c r="F61" s="149"/>
      <c r="G61" s="149"/>
      <c r="H61" s="149"/>
    </row>
    <row r="62" spans="1:8" ht="12.75">
      <c r="A62" s="483">
        <v>8</v>
      </c>
      <c r="B62" s="149" t="s">
        <v>276</v>
      </c>
      <c r="C62" s="149"/>
      <c r="D62" s="149"/>
      <c r="E62" s="149"/>
      <c r="F62" s="149"/>
      <c r="G62" s="149"/>
      <c r="H62" s="149"/>
    </row>
    <row r="64" ht="12.75">
      <c r="A64" s="23" t="s">
        <v>786</v>
      </c>
    </row>
    <row r="65" spans="1:2" ht="12.75">
      <c r="A65" s="425">
        <v>9</v>
      </c>
      <c r="B65" t="s">
        <v>1012</v>
      </c>
    </row>
    <row r="66" spans="1:2" ht="12.75">
      <c r="A66" s="425">
        <v>10</v>
      </c>
      <c r="B66" s="32" t="s">
        <v>430</v>
      </c>
    </row>
    <row r="67" spans="1:2" ht="12.75">
      <c r="A67" s="425">
        <v>11</v>
      </c>
      <c r="B67" t="s">
        <v>909</v>
      </c>
    </row>
    <row r="68" spans="1:2" ht="12.75">
      <c r="A68" s="425">
        <v>12</v>
      </c>
      <c r="B68" t="s">
        <v>858</v>
      </c>
    </row>
    <row r="69" spans="1:2" ht="12.75">
      <c r="A69" s="425"/>
      <c r="B69" s="32" t="s">
        <v>442</v>
      </c>
    </row>
    <row r="70" spans="1:2" ht="12.75">
      <c r="A70" s="425"/>
      <c r="B70" s="32" t="s">
        <v>494</v>
      </c>
    </row>
    <row r="71" spans="1:2" ht="12.75">
      <c r="A71" s="425">
        <v>13</v>
      </c>
      <c r="B71" s="32" t="s">
        <v>518</v>
      </c>
    </row>
    <row r="72" spans="1:2" ht="12.75">
      <c r="A72" s="425">
        <v>14</v>
      </c>
      <c r="B72" t="s">
        <v>239</v>
      </c>
    </row>
    <row r="73" spans="1:2" ht="12.75">
      <c r="A73" s="425">
        <v>15</v>
      </c>
      <c r="B73" t="s">
        <v>1010</v>
      </c>
    </row>
    <row r="75" spans="1:8" ht="12.75">
      <c r="A75" s="419" t="s">
        <v>664</v>
      </c>
      <c r="H75" s="7"/>
    </row>
    <row r="76" spans="2:8" ht="24.75" customHeight="1">
      <c r="B76" s="386" t="s">
        <v>48</v>
      </c>
      <c r="C76" s="730" t="s">
        <v>493</v>
      </c>
      <c r="D76" s="730"/>
      <c r="E76" s="730"/>
      <c r="F76" s="730"/>
      <c r="G76" s="730"/>
      <c r="H76" s="730"/>
    </row>
    <row r="77" spans="2:3" ht="12.75">
      <c r="B77" s="386" t="s">
        <v>233</v>
      </c>
      <c r="C77" s="32" t="s">
        <v>443</v>
      </c>
    </row>
    <row r="78" spans="2:8" ht="24.75" customHeight="1">
      <c r="B78" s="386" t="s">
        <v>429</v>
      </c>
      <c r="C78" s="731" t="s">
        <v>528</v>
      </c>
      <c r="D78" s="730"/>
      <c r="E78" s="730"/>
      <c r="F78" s="730"/>
      <c r="G78" s="730"/>
      <c r="H78" s="730"/>
    </row>
    <row r="79" spans="2:3" ht="12.75">
      <c r="B79" s="386" t="s">
        <v>234</v>
      </c>
      <c r="C79" s="32" t="s">
        <v>236</v>
      </c>
    </row>
    <row r="80" spans="2:3" ht="12.75">
      <c r="B80" s="386" t="s">
        <v>513</v>
      </c>
      <c r="C80" s="32" t="s">
        <v>205</v>
      </c>
    </row>
    <row r="81" spans="2:3" ht="12.75">
      <c r="B81" s="386" t="s">
        <v>235</v>
      </c>
      <c r="C81" s="32" t="s">
        <v>138</v>
      </c>
    </row>
    <row r="82" spans="2:3" ht="12.75">
      <c r="B82" s="386" t="s">
        <v>634</v>
      </c>
      <c r="C82" s="32" t="s">
        <v>139</v>
      </c>
    </row>
    <row r="83" spans="2:3" ht="12.75">
      <c r="B83" s="386" t="s">
        <v>633</v>
      </c>
      <c r="C83" s="32" t="s">
        <v>140</v>
      </c>
    </row>
    <row r="84" spans="2:3" ht="12.75">
      <c r="B84" s="386" t="s">
        <v>1009</v>
      </c>
      <c r="C84" s="32" t="s">
        <v>789</v>
      </c>
    </row>
  </sheetData>
  <sheetProtection selectLockedCells="1"/>
  <mergeCells count="3">
    <mergeCell ref="B57:H57"/>
    <mergeCell ref="C76:H76"/>
    <mergeCell ref="C78:H78"/>
  </mergeCells>
  <printOptions/>
  <pageMargins left="0.5" right="0.5" top="0.35" bottom="0.4" header="0.35" footer="0.4"/>
  <pageSetup fitToHeight="0" fitToWidth="1" orientation="landscape" scale="73" r:id="rId3"/>
  <headerFooter alignWithMargins="0">
    <oddFooter>&amp;L&amp;8November 2011 Version</oddFooter>
  </headerFooter>
  <rowBreaks count="1" manualBreakCount="1">
    <brk id="49" max="7" man="1"/>
  </rowBreaks>
  <drawing r:id="rId2"/>
  <legacyDrawing r:id="rId1"/>
</worksheet>
</file>

<file path=xl/worksheets/sheet3.xml><?xml version="1.0" encoding="utf-8"?>
<worksheet xmlns="http://schemas.openxmlformats.org/spreadsheetml/2006/main" xmlns:r="http://schemas.openxmlformats.org/officeDocument/2006/relationships">
  <sheetPr codeName="Sheet5">
    <tabColor indexed="50"/>
    <pageSetUpPr fitToPage="1"/>
  </sheetPr>
  <dimension ref="A1:G63"/>
  <sheetViews>
    <sheetView zoomScaleSheetLayoutView="50" zoomScalePageLayoutView="0" workbookViewId="0" topLeftCell="A1">
      <selection activeCell="C9" sqref="C9"/>
    </sheetView>
  </sheetViews>
  <sheetFormatPr defaultColWidth="8.8515625" defaultRowHeight="12.75"/>
  <cols>
    <col min="1" max="1" width="9.7109375" style="0" customWidth="1"/>
    <col min="2" max="2" width="27.140625" style="0" customWidth="1"/>
    <col min="3" max="3" width="9.140625" customWidth="1"/>
    <col min="4" max="4" width="4.7109375" style="0" customWidth="1"/>
    <col min="5" max="5" width="78.00390625" style="0" customWidth="1"/>
    <col min="6" max="6" width="8.140625" style="0" customWidth="1"/>
    <col min="7" max="16384" width="9.140625" customWidth="1"/>
  </cols>
  <sheetData>
    <row r="1" ht="15.75">
      <c r="A1" s="38" t="s">
        <v>178</v>
      </c>
    </row>
    <row r="2" ht="12.75">
      <c r="A2" t="s">
        <v>628</v>
      </c>
    </row>
    <row r="3" ht="15.75">
      <c r="A3" s="38"/>
    </row>
    <row r="4" ht="15.75">
      <c r="A4" s="38"/>
    </row>
    <row r="5" ht="12.75">
      <c r="A5" s="1"/>
    </row>
    <row r="7" spans="1:7" ht="12.75">
      <c r="A7" s="1" t="s">
        <v>666</v>
      </c>
      <c r="G7" s="2"/>
    </row>
    <row r="8" spans="1:7" ht="13.5" thickBot="1">
      <c r="A8" s="1" t="s">
        <v>966</v>
      </c>
      <c r="B8" s="1"/>
      <c r="G8" s="2"/>
    </row>
    <row r="9" spans="1:7" ht="12.75">
      <c r="A9" s="425">
        <v>1</v>
      </c>
      <c r="B9" s="5" t="s">
        <v>519</v>
      </c>
      <c r="C9" s="584"/>
      <c r="D9" s="15"/>
      <c r="E9" s="16" t="s">
        <v>213</v>
      </c>
      <c r="F9" s="7"/>
      <c r="G9" s="4"/>
    </row>
    <row r="10" spans="1:7" ht="12.75">
      <c r="A10" s="425">
        <v>2</v>
      </c>
      <c r="B10" s="6" t="s">
        <v>529</v>
      </c>
      <c r="C10" s="585"/>
      <c r="D10" s="7"/>
      <c r="E10" s="8" t="s">
        <v>530</v>
      </c>
      <c r="F10" s="7"/>
      <c r="G10" s="4"/>
    </row>
    <row r="11" spans="1:7" ht="12.75">
      <c r="A11" s="425">
        <v>3</v>
      </c>
      <c r="B11" s="47" t="s">
        <v>424</v>
      </c>
      <c r="C11" s="602">
        <v>2</v>
      </c>
      <c r="D11" s="7"/>
      <c r="E11" s="8" t="s">
        <v>425</v>
      </c>
      <c r="F11" s="7"/>
      <c r="G11" s="4"/>
    </row>
    <row r="12" spans="1:7" ht="12.75">
      <c r="A12" s="425">
        <v>4</v>
      </c>
      <c r="B12" s="47" t="s">
        <v>531</v>
      </c>
      <c r="C12" s="602">
        <v>48</v>
      </c>
      <c r="D12" s="7"/>
      <c r="E12" s="8" t="s">
        <v>947</v>
      </c>
      <c r="F12" s="7"/>
      <c r="G12" s="4"/>
    </row>
    <row r="13" spans="1:7" ht="13.5" thickBot="1">
      <c r="A13" s="425">
        <v>5</v>
      </c>
      <c r="B13" s="186" t="s">
        <v>665</v>
      </c>
      <c r="C13" s="157" t="e">
        <f>C9/(C12*C10/2/12)</f>
        <v>#DIV/0!</v>
      </c>
      <c r="D13" s="51"/>
      <c r="E13" s="43" t="s">
        <v>208</v>
      </c>
      <c r="G13" s="2"/>
    </row>
    <row r="14" spans="1:7" ht="13.5" thickBot="1">
      <c r="A14" s="466"/>
      <c r="B14" s="7"/>
      <c r="C14" s="7"/>
      <c r="D14" s="7"/>
      <c r="E14" s="7"/>
      <c r="F14" s="2"/>
      <c r="G14" s="4"/>
    </row>
    <row r="15" spans="1:7" ht="12.75">
      <c r="A15" s="425">
        <v>6</v>
      </c>
      <c r="B15" s="5" t="s">
        <v>812</v>
      </c>
      <c r="C15" s="587"/>
      <c r="D15" s="15"/>
      <c r="E15" s="33" t="s">
        <v>420</v>
      </c>
      <c r="G15" s="2"/>
    </row>
    <row r="16" spans="1:7" ht="12.75">
      <c r="A16" s="425">
        <v>7</v>
      </c>
      <c r="B16" s="6" t="s">
        <v>421</v>
      </c>
      <c r="C16" s="585"/>
      <c r="D16" s="7"/>
      <c r="E16" s="19" t="s">
        <v>135</v>
      </c>
      <c r="G16" s="2"/>
    </row>
    <row r="17" spans="1:7" ht="12.75">
      <c r="A17" s="425">
        <v>8</v>
      </c>
      <c r="B17" s="6" t="s">
        <v>422</v>
      </c>
      <c r="C17" s="366" t="e">
        <f>C13/C16</f>
        <v>#DIV/0!</v>
      </c>
      <c r="D17" s="7"/>
      <c r="E17" s="19" t="s">
        <v>423</v>
      </c>
      <c r="G17" s="2"/>
    </row>
    <row r="18" spans="1:7" ht="12.75">
      <c r="A18" s="425">
        <v>9</v>
      </c>
      <c r="B18" s="311" t="s">
        <v>814</v>
      </c>
      <c r="C18" s="585"/>
      <c r="D18" s="7"/>
      <c r="E18" s="19" t="s">
        <v>507</v>
      </c>
      <c r="G18" s="2"/>
    </row>
    <row r="19" spans="1:7" ht="12.75">
      <c r="A19" s="425">
        <v>10</v>
      </c>
      <c r="B19" s="311" t="s">
        <v>702</v>
      </c>
      <c r="C19" s="368">
        <f>C16+C15*C18*2</f>
        <v>0</v>
      </c>
      <c r="D19" s="7"/>
      <c r="E19" s="19" t="s">
        <v>509</v>
      </c>
      <c r="G19" s="2"/>
    </row>
    <row r="20" spans="1:7" ht="12.75">
      <c r="A20" s="425"/>
      <c r="B20" s="311" t="s">
        <v>884</v>
      </c>
      <c r="C20" s="368" t="e">
        <f>C17+C15*C18*2</f>
        <v>#DIV/0!</v>
      </c>
      <c r="D20" s="7"/>
      <c r="E20" s="19" t="s">
        <v>509</v>
      </c>
      <c r="G20" s="2"/>
    </row>
    <row r="21" spans="1:5" ht="12.75">
      <c r="A21" s="425">
        <v>11</v>
      </c>
      <c r="B21" s="311" t="s">
        <v>428</v>
      </c>
      <c r="C21" s="367" t="e">
        <f>C18*(C16*C17+C19*C20+SQRT(C16*C17*C19*C20))/3</f>
        <v>#DIV/0!</v>
      </c>
      <c r="D21" s="7"/>
      <c r="E21" s="313" t="s">
        <v>916</v>
      </c>
    </row>
    <row r="22" spans="1:5" ht="13.5" customHeight="1" thickBot="1">
      <c r="A22" s="425">
        <v>12</v>
      </c>
      <c r="B22" s="52" t="s">
        <v>508</v>
      </c>
      <c r="C22" s="371" t="e">
        <f>IF(C21&gt;C9,"Okay","Error, increase depth")</f>
        <v>#DIV/0!</v>
      </c>
      <c r="D22" s="10"/>
      <c r="E22" s="43"/>
    </row>
    <row r="23" spans="2:5" ht="14.25" hidden="1">
      <c r="B23" s="35" t="s">
        <v>718</v>
      </c>
      <c r="C23" s="197">
        <f>C9/(0.75/12)/0.9</f>
        <v>0</v>
      </c>
      <c r="D23" s="34"/>
      <c r="E23" s="35" t="s">
        <v>375</v>
      </c>
    </row>
    <row r="24" spans="2:5" ht="12.75" hidden="1">
      <c r="B24" s="35" t="s">
        <v>772</v>
      </c>
      <c r="C24" s="198" t="e">
        <f>C20*C19/C23</f>
        <v>#DIV/0!</v>
      </c>
      <c r="D24" s="34"/>
      <c r="E24" s="34"/>
    </row>
    <row r="26" ht="12.75">
      <c r="A26" s="1" t="s">
        <v>663</v>
      </c>
    </row>
    <row r="27" ht="12.75">
      <c r="A27" s="44" t="s">
        <v>108</v>
      </c>
    </row>
    <row r="29" ht="12.75">
      <c r="A29" s="55" t="s">
        <v>584</v>
      </c>
    </row>
    <row r="30" spans="1:5" ht="26.25" customHeight="1">
      <c r="A30" s="483">
        <v>1</v>
      </c>
      <c r="B30" s="732" t="s">
        <v>302</v>
      </c>
      <c r="C30" s="733"/>
      <c r="D30" s="733"/>
      <c r="E30" s="733"/>
    </row>
    <row r="31" spans="1:5" ht="26.25" customHeight="1">
      <c r="A31" s="483">
        <v>2</v>
      </c>
      <c r="B31" s="732" t="s">
        <v>858</v>
      </c>
      <c r="C31" s="733"/>
      <c r="D31" s="733"/>
      <c r="E31" s="733"/>
    </row>
    <row r="32" spans="1:7" ht="25.5" customHeight="1">
      <c r="A32" s="483">
        <v>3</v>
      </c>
      <c r="B32" s="732" t="s">
        <v>133</v>
      </c>
      <c r="C32" s="732"/>
      <c r="D32" s="732"/>
      <c r="E32" s="732"/>
      <c r="F32" s="405"/>
      <c r="G32" s="405"/>
    </row>
    <row r="33" spans="1:5" ht="12.75">
      <c r="A33" s="483">
        <v>4</v>
      </c>
      <c r="B33" s="732" t="s">
        <v>134</v>
      </c>
      <c r="C33" s="732"/>
      <c r="D33" s="732"/>
      <c r="E33" s="732"/>
    </row>
    <row r="34" spans="1:5" ht="26.25" customHeight="1">
      <c r="A34" s="483">
        <v>5</v>
      </c>
      <c r="B34" s="732" t="s">
        <v>717</v>
      </c>
      <c r="C34" s="732"/>
      <c r="D34" s="732"/>
      <c r="E34" s="732"/>
    </row>
    <row r="35" spans="1:5" ht="26.25" customHeight="1">
      <c r="A35" s="483">
        <v>6</v>
      </c>
      <c r="B35" s="732" t="s">
        <v>129</v>
      </c>
      <c r="C35" s="732"/>
      <c r="D35" s="732"/>
      <c r="E35" s="732"/>
    </row>
    <row r="36" spans="1:5" ht="12.75">
      <c r="A36" s="483">
        <v>7</v>
      </c>
      <c r="B36" s="732" t="s">
        <v>130</v>
      </c>
      <c r="C36" s="732"/>
      <c r="D36" s="732"/>
      <c r="E36" s="732"/>
    </row>
    <row r="37" spans="1:5" ht="12.75">
      <c r="A37" s="483">
        <v>8</v>
      </c>
      <c r="B37" s="732" t="s">
        <v>506</v>
      </c>
      <c r="C37" s="732"/>
      <c r="D37" s="732"/>
      <c r="E37" s="732"/>
    </row>
    <row r="38" spans="1:7" ht="39" customHeight="1">
      <c r="A38" s="483">
        <v>9</v>
      </c>
      <c r="B38" s="732" t="s">
        <v>47</v>
      </c>
      <c r="C38" s="732"/>
      <c r="D38" s="732"/>
      <c r="E38" s="732"/>
      <c r="F38" s="379"/>
      <c r="G38" s="379"/>
    </row>
    <row r="39" spans="1:5" ht="12.75">
      <c r="A39" s="483">
        <v>10</v>
      </c>
      <c r="B39" s="732" t="s">
        <v>816</v>
      </c>
      <c r="C39" s="732"/>
      <c r="D39" s="732"/>
      <c r="E39" s="732"/>
    </row>
    <row r="40" spans="1:5" ht="12.75">
      <c r="A40" s="483">
        <v>11</v>
      </c>
      <c r="B40" s="732" t="s">
        <v>92</v>
      </c>
      <c r="C40" s="732"/>
      <c r="D40" s="732"/>
      <c r="E40" s="732"/>
    </row>
    <row r="41" spans="1:5" ht="12.75">
      <c r="A41" s="483">
        <v>12</v>
      </c>
      <c r="B41" s="732" t="s">
        <v>989</v>
      </c>
      <c r="C41" s="732"/>
      <c r="D41" s="732"/>
      <c r="E41" s="732"/>
    </row>
    <row r="42" spans="1:5" ht="12.75">
      <c r="A42" s="149"/>
      <c r="B42" s="149"/>
      <c r="C42" s="149"/>
      <c r="D42" s="149"/>
      <c r="E42" s="149"/>
    </row>
    <row r="43" spans="1:5" ht="12.75">
      <c r="A43" s="419" t="s">
        <v>664</v>
      </c>
      <c r="B43" s="149"/>
      <c r="C43" s="149"/>
      <c r="D43" s="149"/>
      <c r="E43" s="149"/>
    </row>
    <row r="44" spans="1:6" ht="25.5" customHeight="1">
      <c r="A44" s="149"/>
      <c r="B44" s="386" t="s">
        <v>48</v>
      </c>
      <c r="C44" s="718" t="s">
        <v>493</v>
      </c>
      <c r="D44" s="718"/>
      <c r="E44" s="718"/>
      <c r="F44" s="66"/>
    </row>
    <row r="45" spans="1:6" ht="25.5" customHeight="1">
      <c r="A45" s="149"/>
      <c r="B45" s="386" t="s">
        <v>429</v>
      </c>
      <c r="C45" s="718" t="s">
        <v>528</v>
      </c>
      <c r="D45" s="718"/>
      <c r="E45" s="718"/>
      <c r="F45" s="66"/>
    </row>
    <row r="46" spans="1:6" ht="12.75" customHeight="1">
      <c r="A46" s="149"/>
      <c r="B46" s="386" t="s">
        <v>113</v>
      </c>
      <c r="C46" s="718" t="s">
        <v>399</v>
      </c>
      <c r="D46" s="718"/>
      <c r="E46" s="718"/>
      <c r="F46" s="66"/>
    </row>
    <row r="47" spans="1:6" ht="12.75" customHeight="1">
      <c r="A47" s="149"/>
      <c r="B47" s="386" t="s">
        <v>815</v>
      </c>
      <c r="C47" s="718" t="s">
        <v>154</v>
      </c>
      <c r="D47" s="718"/>
      <c r="E47" s="718"/>
      <c r="F47" s="66"/>
    </row>
    <row r="48" spans="1:6" ht="12.75" customHeight="1">
      <c r="A48" s="149"/>
      <c r="B48" s="386" t="s">
        <v>232</v>
      </c>
      <c r="C48" s="718" t="s">
        <v>400</v>
      </c>
      <c r="D48" s="718"/>
      <c r="E48" s="718"/>
      <c r="F48" s="66"/>
    </row>
    <row r="50" spans="2:7" ht="12.75">
      <c r="B50" s="35"/>
      <c r="C50" s="2"/>
      <c r="D50" s="35"/>
      <c r="E50" s="2"/>
      <c r="F50" s="2"/>
      <c r="G50" s="2"/>
    </row>
    <row r="51" spans="2:7" ht="12.75">
      <c r="B51" s="2"/>
      <c r="C51" s="2"/>
      <c r="D51" s="2"/>
      <c r="E51" s="2"/>
      <c r="F51" s="2"/>
      <c r="G51" s="2"/>
    </row>
    <row r="52" spans="2:7" ht="12.75">
      <c r="B52" s="4"/>
      <c r="C52" s="2"/>
      <c r="D52" s="2"/>
      <c r="E52" s="2"/>
      <c r="F52" s="2"/>
      <c r="G52" s="2"/>
    </row>
    <row r="53" spans="2:7" ht="12.75">
      <c r="B53" s="53"/>
      <c r="C53" s="2"/>
      <c r="D53" s="2"/>
      <c r="E53" s="2"/>
      <c r="F53" s="2"/>
      <c r="G53" s="369"/>
    </row>
    <row r="54" spans="2:7" ht="12.75">
      <c r="B54" s="53"/>
      <c r="C54" s="67"/>
      <c r="D54" s="2"/>
      <c r="E54" s="2"/>
      <c r="F54" s="53"/>
      <c r="G54" s="2"/>
    </row>
    <row r="55" spans="2:7" ht="12.75">
      <c r="B55" s="53"/>
      <c r="C55" s="67"/>
      <c r="D55" s="2"/>
      <c r="E55" s="2"/>
      <c r="F55" s="53"/>
      <c r="G55" s="67"/>
    </row>
    <row r="56" spans="2:7" ht="12.75">
      <c r="B56" s="53"/>
      <c r="C56" s="67"/>
      <c r="D56" s="2"/>
      <c r="E56" s="2"/>
      <c r="F56" s="53"/>
      <c r="G56" s="67"/>
    </row>
    <row r="57" spans="2:7" ht="12.75">
      <c r="B57" s="53"/>
      <c r="C57" s="67"/>
      <c r="D57" s="2"/>
      <c r="E57" s="370"/>
      <c r="F57" s="53"/>
      <c r="G57" s="2"/>
    </row>
    <row r="58" spans="2:7" ht="12.75">
      <c r="B58" s="53"/>
      <c r="C58" s="370"/>
      <c r="D58" s="2"/>
      <c r="E58" s="2"/>
      <c r="F58" s="2"/>
      <c r="G58" s="2"/>
    </row>
    <row r="59" spans="2:7" ht="12.75">
      <c r="B59" s="53"/>
      <c r="C59" s="67"/>
      <c r="D59" s="2"/>
      <c r="E59" s="2"/>
      <c r="F59" s="2"/>
      <c r="G59" s="2"/>
    </row>
    <row r="60" spans="2:7" ht="12.75">
      <c r="B60" s="53"/>
      <c r="C60" s="67"/>
      <c r="D60" s="2"/>
      <c r="E60" s="2"/>
      <c r="F60" s="2"/>
      <c r="G60" s="2"/>
    </row>
    <row r="61" spans="2:7" ht="12.75">
      <c r="B61" s="2"/>
      <c r="C61" s="2"/>
      <c r="D61" s="2"/>
      <c r="E61" s="2"/>
      <c r="F61" s="2"/>
      <c r="G61" s="2"/>
    </row>
    <row r="62" spans="2:7" ht="12.75">
      <c r="B62" s="2"/>
      <c r="C62" s="2"/>
      <c r="D62" s="2"/>
      <c r="E62" s="2"/>
      <c r="F62" s="2"/>
      <c r="G62" s="2"/>
    </row>
    <row r="63" spans="2:7" ht="12.75">
      <c r="B63" s="2"/>
      <c r="C63" s="2"/>
      <c r="D63" s="2"/>
      <c r="E63" s="2"/>
      <c r="F63" s="2"/>
      <c r="G63" s="2"/>
    </row>
  </sheetData>
  <sheetProtection selectLockedCells="1"/>
  <mergeCells count="17">
    <mergeCell ref="B30:E30"/>
    <mergeCell ref="B31:E31"/>
    <mergeCell ref="B32:E32"/>
    <mergeCell ref="B33:E33"/>
    <mergeCell ref="B34:E34"/>
    <mergeCell ref="C46:E46"/>
    <mergeCell ref="B40:E40"/>
    <mergeCell ref="B41:E41"/>
    <mergeCell ref="C44:E44"/>
    <mergeCell ref="C48:E48"/>
    <mergeCell ref="B39:E39"/>
    <mergeCell ref="B35:E35"/>
    <mergeCell ref="B36:E36"/>
    <mergeCell ref="C45:E45"/>
    <mergeCell ref="B37:E37"/>
    <mergeCell ref="B38:E38"/>
    <mergeCell ref="C47:E47"/>
  </mergeCells>
  <printOptions/>
  <pageMargins left="0.5" right="0.5" top="0.35" bottom="0.4" header="0.35" footer="0.4"/>
  <pageSetup fitToHeight="0" fitToWidth="1" orientation="landscape" r:id="rId3"/>
  <headerFooter alignWithMargins="0">
    <oddFooter>&amp;L&amp;8November 2011 Version</oddFooter>
  </headerFooter>
  <rowBreaks count="1" manualBreakCount="1">
    <brk id="25" max="255" man="1"/>
  </rowBreaks>
  <drawing r:id="rId2"/>
  <legacyDrawing r:id="rId1"/>
</worksheet>
</file>

<file path=xl/worksheets/sheet4.xml><?xml version="1.0" encoding="utf-8"?>
<worksheet xmlns="http://schemas.openxmlformats.org/spreadsheetml/2006/main" xmlns:r="http://schemas.openxmlformats.org/officeDocument/2006/relationships">
  <sheetPr codeName="Sheet3">
    <tabColor indexed="50"/>
    <pageSetUpPr fitToPage="1"/>
  </sheetPr>
  <dimension ref="A1:F58"/>
  <sheetViews>
    <sheetView zoomScaleSheetLayoutView="50" zoomScalePageLayoutView="0" workbookViewId="0" topLeftCell="A1">
      <selection activeCell="C10" sqref="C10"/>
    </sheetView>
  </sheetViews>
  <sheetFormatPr defaultColWidth="8.8515625" defaultRowHeight="12.75"/>
  <cols>
    <col min="1" max="1" width="9.7109375" style="0" customWidth="1"/>
    <col min="2" max="2" width="39.28125" style="0" customWidth="1"/>
    <col min="3" max="3" width="16.140625" style="0" customWidth="1"/>
    <col min="4" max="4" width="1.421875" style="0" customWidth="1"/>
    <col min="5" max="5" width="87.28125" style="0" customWidth="1"/>
    <col min="6" max="16384" width="9.140625" customWidth="1"/>
  </cols>
  <sheetData>
    <row r="1" ht="15.75">
      <c r="A1" s="38" t="s">
        <v>341</v>
      </c>
    </row>
    <row r="2" ht="12.75">
      <c r="A2" s="32" t="s">
        <v>277</v>
      </c>
    </row>
    <row r="7" spans="1:6" ht="12.75">
      <c r="A7" s="175"/>
      <c r="C7" s="149"/>
      <c r="D7" s="149"/>
      <c r="E7" s="149"/>
      <c r="F7" s="149"/>
    </row>
    <row r="8" ht="12.75">
      <c r="A8" s="1" t="s">
        <v>666</v>
      </c>
    </row>
    <row r="9" spans="1:2" ht="13.5" thickBot="1">
      <c r="A9" s="1" t="s">
        <v>604</v>
      </c>
      <c r="B9" s="1"/>
    </row>
    <row r="10" spans="1:6" ht="12.75">
      <c r="A10" s="485">
        <v>1</v>
      </c>
      <c r="B10" s="5" t="s">
        <v>512</v>
      </c>
      <c r="C10" s="588"/>
      <c r="D10" s="15"/>
      <c r="E10" s="16" t="s">
        <v>213</v>
      </c>
      <c r="F10" s="7"/>
    </row>
    <row r="11" spans="1:6" ht="12.75">
      <c r="A11" s="485">
        <v>2</v>
      </c>
      <c r="B11" s="72" t="s">
        <v>376</v>
      </c>
      <c r="C11" s="589"/>
      <c r="D11" s="7"/>
      <c r="E11" s="73" t="s">
        <v>588</v>
      </c>
      <c r="F11" s="7"/>
    </row>
    <row r="12" spans="1:6" ht="12.75">
      <c r="A12" s="485">
        <v>3</v>
      </c>
      <c r="B12" s="72" t="s">
        <v>694</v>
      </c>
      <c r="C12" s="590"/>
      <c r="D12" s="7"/>
      <c r="E12" s="73" t="s">
        <v>448</v>
      </c>
      <c r="F12" s="2"/>
    </row>
    <row r="13" spans="1:6" ht="12.75">
      <c r="A13" s="485">
        <v>4</v>
      </c>
      <c r="B13" s="84" t="s">
        <v>677</v>
      </c>
      <c r="C13" s="668">
        <v>0.25</v>
      </c>
      <c r="D13" s="2"/>
      <c r="E13" s="19" t="s">
        <v>741</v>
      </c>
      <c r="F13" s="2"/>
    </row>
    <row r="14" spans="1:6" ht="12.75">
      <c r="A14" s="485">
        <v>5</v>
      </c>
      <c r="B14" s="170" t="s">
        <v>382</v>
      </c>
      <c r="C14" s="169">
        <f>C11*C13</f>
        <v>0</v>
      </c>
      <c r="D14" s="2"/>
      <c r="E14" s="74" t="s">
        <v>589</v>
      </c>
      <c r="F14" s="2"/>
    </row>
    <row r="15" spans="1:6" ht="12.75">
      <c r="A15" s="485">
        <v>6</v>
      </c>
      <c r="B15" s="6" t="s">
        <v>408</v>
      </c>
      <c r="C15" s="590"/>
      <c r="D15" s="7"/>
      <c r="E15" s="73" t="s">
        <v>192</v>
      </c>
      <c r="F15" s="7"/>
    </row>
    <row r="16" spans="1:6" ht="12.75">
      <c r="A16" s="485"/>
      <c r="B16" s="47" t="s">
        <v>409</v>
      </c>
      <c r="C16" s="603">
        <v>2</v>
      </c>
      <c r="D16" s="7"/>
      <c r="E16" s="73" t="s">
        <v>447</v>
      </c>
      <c r="F16" s="7"/>
    </row>
    <row r="17" spans="1:6" ht="12.75">
      <c r="A17" s="485">
        <v>7</v>
      </c>
      <c r="B17" s="84" t="s">
        <v>380</v>
      </c>
      <c r="C17" s="167" t="str">
        <f>IF(C15/C16&lt;0.25,"Yes","No")</f>
        <v>Yes</v>
      </c>
      <c r="D17" s="7"/>
      <c r="E17" s="73" t="s">
        <v>590</v>
      </c>
      <c r="F17" s="7"/>
    </row>
    <row r="18" spans="1:6" ht="12.75">
      <c r="A18" s="485">
        <v>8</v>
      </c>
      <c r="B18" s="6" t="s">
        <v>378</v>
      </c>
      <c r="C18" s="604">
        <v>0.35</v>
      </c>
      <c r="D18" s="7"/>
      <c r="E18" s="19" t="s">
        <v>291</v>
      </c>
      <c r="F18" s="7"/>
    </row>
    <row r="19" spans="1:6" ht="13.5" thickBot="1">
      <c r="A19" s="485"/>
      <c r="B19" s="9" t="s">
        <v>293</v>
      </c>
      <c r="C19" s="605">
        <v>2</v>
      </c>
      <c r="D19" s="10"/>
      <c r="E19" s="11" t="s">
        <v>410</v>
      </c>
      <c r="F19" s="7"/>
    </row>
    <row r="20" spans="1:6" ht="13.5" thickBot="1">
      <c r="A20" s="253"/>
      <c r="B20" s="2"/>
      <c r="C20" s="2"/>
      <c r="D20" s="2"/>
      <c r="E20" s="2"/>
      <c r="F20" s="7"/>
    </row>
    <row r="21" spans="1:6" ht="12.75">
      <c r="A21" s="485">
        <v>9</v>
      </c>
      <c r="B21" s="5" t="s">
        <v>379</v>
      </c>
      <c r="C21" s="591"/>
      <c r="D21" s="15"/>
      <c r="E21" s="123" t="s">
        <v>689</v>
      </c>
      <c r="F21" s="2"/>
    </row>
    <row r="22" spans="1:6" ht="12.75">
      <c r="A22" s="485"/>
      <c r="B22" s="72" t="s">
        <v>767</v>
      </c>
      <c r="C22" s="592"/>
      <c r="D22" s="7"/>
      <c r="E22" s="73" t="s">
        <v>766</v>
      </c>
      <c r="F22" s="3"/>
    </row>
    <row r="23" spans="1:6" ht="12.75" hidden="1">
      <c r="A23" s="485"/>
      <c r="B23" s="72" t="s">
        <v>449</v>
      </c>
      <c r="C23" s="173" t="e">
        <f>(C$10-C$15/C$16/12*C$14*C$19)/(C$14*C$18)*12</f>
        <v>#DIV/0!</v>
      </c>
      <c r="D23" s="7"/>
      <c r="E23" s="73" t="s">
        <v>295</v>
      </c>
      <c r="F23" s="3"/>
    </row>
    <row r="24" spans="1:6" ht="13.5" thickBot="1">
      <c r="A24" s="485">
        <v>10</v>
      </c>
      <c r="B24" s="171" t="s">
        <v>446</v>
      </c>
      <c r="C24" s="172" t="e">
        <f>MAX((C$10-C$15/C$16/12*C$14*C$19)/(C$14*C$18)*12,6)</f>
        <v>#DIV/0!</v>
      </c>
      <c r="D24" s="10"/>
      <c r="E24" s="124" t="s">
        <v>445</v>
      </c>
      <c r="F24" s="35"/>
    </row>
    <row r="25" spans="1:6" ht="13.5" thickBot="1">
      <c r="A25" s="466"/>
      <c r="F25" s="35"/>
    </row>
    <row r="26" spans="1:6" ht="12.75">
      <c r="A26" s="425">
        <v>11</v>
      </c>
      <c r="B26" s="48" t="s">
        <v>411</v>
      </c>
      <c r="C26" s="168" t="str">
        <f>IF(C17="No",C10/(C15/C16/12)/C14,"N/A")</f>
        <v>N/A</v>
      </c>
      <c r="D26" s="83"/>
      <c r="E26" s="144" t="s">
        <v>374</v>
      </c>
      <c r="F26" s="35"/>
    </row>
    <row r="27" spans="1:6" ht="12.75">
      <c r="A27" s="425">
        <v>12</v>
      </c>
      <c r="B27" s="311" t="s">
        <v>915</v>
      </c>
      <c r="C27" s="593"/>
      <c r="D27" s="2"/>
      <c r="E27" s="313" t="s">
        <v>914</v>
      </c>
      <c r="F27" s="2"/>
    </row>
    <row r="28" spans="1:6" ht="12" customHeight="1" thickBot="1">
      <c r="A28" s="425">
        <v>13</v>
      </c>
      <c r="B28" s="333" t="s">
        <v>112</v>
      </c>
      <c r="C28" s="373" t="e">
        <f>IF(C17="No","N/A",(C10/(C27*60*60))*7.48*60)</f>
        <v>#DIV/0!</v>
      </c>
      <c r="D28" s="51"/>
      <c r="E28" s="127" t="s">
        <v>416</v>
      </c>
      <c r="F28" s="3"/>
    </row>
    <row r="29" spans="2:5" ht="12" customHeight="1" hidden="1">
      <c r="B29" s="143" t="s">
        <v>551</v>
      </c>
      <c r="C29" s="50">
        <f>C10/0.9/(0.75/12)</f>
        <v>0</v>
      </c>
      <c r="D29" s="35"/>
      <c r="E29" s="143" t="s">
        <v>375</v>
      </c>
    </row>
    <row r="30" spans="2:3" ht="12" customHeight="1" hidden="1">
      <c r="B30" s="35" t="s">
        <v>200</v>
      </c>
      <c r="C30" s="179" t="e">
        <f>C14/C29</f>
        <v>#DIV/0!</v>
      </c>
    </row>
    <row r="31" ht="12" customHeight="1"/>
    <row r="32" ht="12" customHeight="1">
      <c r="A32" s="1" t="s">
        <v>663</v>
      </c>
    </row>
    <row r="33" ht="12.75">
      <c r="A33" s="44" t="s">
        <v>334</v>
      </c>
    </row>
    <row r="35" ht="12.75">
      <c r="A35" s="55" t="s">
        <v>584</v>
      </c>
    </row>
    <row r="36" spans="1:6" ht="25.5" customHeight="1">
      <c r="A36" s="483">
        <v>1</v>
      </c>
      <c r="B36" s="729" t="s">
        <v>834</v>
      </c>
      <c r="C36" s="718"/>
      <c r="D36" s="718"/>
      <c r="E36" s="718"/>
      <c r="F36" s="149"/>
    </row>
    <row r="37" spans="1:6" ht="12.75">
      <c r="A37" s="483">
        <v>2</v>
      </c>
      <c r="B37" s="148" t="s">
        <v>679</v>
      </c>
      <c r="C37" s="149"/>
      <c r="D37" s="149"/>
      <c r="E37" s="149"/>
      <c r="F37" s="149"/>
    </row>
    <row r="38" spans="1:6" ht="12.75">
      <c r="A38" s="483">
        <v>3</v>
      </c>
      <c r="B38" s="148" t="s">
        <v>193</v>
      </c>
      <c r="C38" s="149"/>
      <c r="D38" s="149"/>
      <c r="E38" s="149"/>
      <c r="F38" s="149"/>
    </row>
    <row r="39" spans="1:6" ht="39" customHeight="1">
      <c r="A39" s="483">
        <v>4</v>
      </c>
      <c r="B39" s="718" t="s">
        <v>742</v>
      </c>
      <c r="C39" s="718"/>
      <c r="D39" s="718"/>
      <c r="E39" s="718"/>
      <c r="F39" s="66"/>
    </row>
    <row r="40" spans="1:6" ht="12.75" customHeight="1">
      <c r="A40" s="483">
        <v>5</v>
      </c>
      <c r="B40" s="174" t="s">
        <v>724</v>
      </c>
      <c r="C40" s="66"/>
      <c r="D40" s="66"/>
      <c r="E40" s="66"/>
      <c r="F40" s="66"/>
    </row>
    <row r="41" spans="1:6" ht="40.5" customHeight="1">
      <c r="A41" s="483">
        <v>6</v>
      </c>
      <c r="B41" s="729" t="s">
        <v>695</v>
      </c>
      <c r="C41" s="718"/>
      <c r="D41" s="718"/>
      <c r="E41" s="718"/>
      <c r="F41" s="66"/>
    </row>
    <row r="42" spans="1:6" ht="25.5" customHeight="1">
      <c r="A42" s="483">
        <v>7</v>
      </c>
      <c r="B42" s="729" t="s">
        <v>691</v>
      </c>
      <c r="C42" s="718"/>
      <c r="D42" s="718"/>
      <c r="E42" s="718"/>
      <c r="F42" s="66"/>
    </row>
    <row r="43" spans="1:6" ht="12.75" customHeight="1">
      <c r="A43" s="483">
        <v>8</v>
      </c>
      <c r="B43" s="148" t="s">
        <v>576</v>
      </c>
      <c r="C43" s="149"/>
      <c r="D43" s="149"/>
      <c r="E43" s="149"/>
      <c r="F43" s="149"/>
    </row>
    <row r="44" spans="1:6" ht="40.5" customHeight="1">
      <c r="A44" s="483">
        <v>9</v>
      </c>
      <c r="B44" s="729" t="s">
        <v>1013</v>
      </c>
      <c r="C44" s="718"/>
      <c r="D44" s="718"/>
      <c r="E44" s="718"/>
      <c r="F44" s="66"/>
    </row>
    <row r="45" spans="1:6" ht="14.25" customHeight="1">
      <c r="A45" s="483">
        <v>10</v>
      </c>
      <c r="B45" s="148" t="s">
        <v>45</v>
      </c>
      <c r="C45" s="149"/>
      <c r="D45" s="149"/>
      <c r="E45" s="149"/>
      <c r="F45" s="149"/>
    </row>
    <row r="46" spans="1:6" ht="13.5" customHeight="1">
      <c r="A46" s="483">
        <v>11</v>
      </c>
      <c r="B46" s="148" t="s">
        <v>775</v>
      </c>
      <c r="C46" s="66"/>
      <c r="D46" s="66"/>
      <c r="E46" s="66"/>
      <c r="F46" s="66"/>
    </row>
    <row r="47" spans="1:6" ht="12.75">
      <c r="A47" s="483">
        <v>12</v>
      </c>
      <c r="B47" s="148" t="s">
        <v>353</v>
      </c>
      <c r="C47" s="149"/>
      <c r="D47" s="149"/>
      <c r="E47" s="149"/>
      <c r="F47" s="149"/>
    </row>
    <row r="48" spans="1:6" ht="25.5" customHeight="1">
      <c r="A48" s="483">
        <v>13</v>
      </c>
      <c r="B48" s="718" t="s">
        <v>136</v>
      </c>
      <c r="C48" s="718"/>
      <c r="D48" s="718"/>
      <c r="E48" s="718"/>
      <c r="F48" s="149"/>
    </row>
    <row r="49" spans="2:6" ht="12.75">
      <c r="B49" s="149"/>
      <c r="C49" s="149"/>
      <c r="D49" s="149"/>
      <c r="E49" s="149"/>
      <c r="F49" s="149"/>
    </row>
    <row r="50" ht="12.75">
      <c r="A50" s="1" t="s">
        <v>664</v>
      </c>
    </row>
    <row r="51" spans="2:6" ht="25.5" customHeight="1">
      <c r="B51" s="386" t="s">
        <v>48</v>
      </c>
      <c r="C51" s="718" t="s">
        <v>493</v>
      </c>
      <c r="D51" s="718"/>
      <c r="E51" s="718"/>
      <c r="F51" s="149"/>
    </row>
    <row r="52" spans="2:6" ht="25.5" customHeight="1">
      <c r="B52" s="386" t="s">
        <v>429</v>
      </c>
      <c r="C52" s="718" t="s">
        <v>528</v>
      </c>
      <c r="D52" s="718"/>
      <c r="E52" s="718"/>
      <c r="F52" s="66"/>
    </row>
    <row r="53" spans="2:6" ht="25.5" customHeight="1">
      <c r="B53" s="386" t="s">
        <v>233</v>
      </c>
      <c r="C53" s="718" t="s">
        <v>443</v>
      </c>
      <c r="D53" s="718"/>
      <c r="E53" s="718"/>
      <c r="F53" s="66"/>
    </row>
    <row r="54" spans="2:6" ht="12.75" customHeight="1">
      <c r="B54" s="386" t="s">
        <v>234</v>
      </c>
      <c r="C54" s="718" t="s">
        <v>142</v>
      </c>
      <c r="D54" s="718"/>
      <c r="E54" s="718"/>
      <c r="F54" s="66"/>
    </row>
    <row r="55" spans="2:6" ht="38.25" customHeight="1">
      <c r="B55" s="386" t="s">
        <v>143</v>
      </c>
      <c r="C55" s="718" t="s">
        <v>464</v>
      </c>
      <c r="D55" s="718"/>
      <c r="E55" s="718"/>
      <c r="F55" s="66"/>
    </row>
    <row r="56" spans="2:6" ht="25.5" customHeight="1">
      <c r="B56" s="386" t="s">
        <v>194</v>
      </c>
      <c r="C56" s="718" t="s">
        <v>498</v>
      </c>
      <c r="D56" s="718"/>
      <c r="E56" s="718"/>
      <c r="F56" s="66"/>
    </row>
    <row r="57" spans="2:6" ht="25.5" customHeight="1">
      <c r="B57" s="386" t="s">
        <v>377</v>
      </c>
      <c r="C57" s="718" t="s">
        <v>340</v>
      </c>
      <c r="D57" s="718"/>
      <c r="E57" s="718"/>
      <c r="F57" s="66"/>
    </row>
    <row r="58" spans="2:6" ht="12.75" customHeight="1">
      <c r="B58" s="386" t="s">
        <v>513</v>
      </c>
      <c r="C58" s="718" t="s">
        <v>362</v>
      </c>
      <c r="D58" s="718"/>
      <c r="E58" s="718"/>
      <c r="F58" s="66"/>
    </row>
  </sheetData>
  <sheetProtection selectLockedCells="1"/>
  <mergeCells count="14">
    <mergeCell ref="C56:E56"/>
    <mergeCell ref="C57:E57"/>
    <mergeCell ref="C58:E58"/>
    <mergeCell ref="C52:E52"/>
    <mergeCell ref="C53:E53"/>
    <mergeCell ref="C54:E54"/>
    <mergeCell ref="C55:E55"/>
    <mergeCell ref="B36:E36"/>
    <mergeCell ref="B39:E39"/>
    <mergeCell ref="B41:E41"/>
    <mergeCell ref="C51:E51"/>
    <mergeCell ref="B42:E42"/>
    <mergeCell ref="B44:E44"/>
    <mergeCell ref="B48:E48"/>
  </mergeCells>
  <dataValidations count="1">
    <dataValidation type="list" allowBlank="1" showInputMessage="1" showErrorMessage="1" sqref="C12">
      <formula1>"Permeable Pavers, Porous Asphalt, Pervious Concrete"</formula1>
    </dataValidation>
  </dataValidations>
  <printOptions/>
  <pageMargins left="0.5" right="0.5" top="0.35" bottom="0.4" header="0.35" footer="0.4"/>
  <pageSetup fitToHeight="0" fitToWidth="1" horizontalDpi="600" verticalDpi="600" orientation="landscape" scale="84" r:id="rId3"/>
  <headerFooter alignWithMargins="0">
    <oddFooter>&amp;L&amp;8November 2011 Version</oddFooter>
  </headerFooter>
  <rowBreaks count="1" manualBreakCount="1">
    <brk id="31" max="4" man="1"/>
  </rowBreaks>
  <drawing r:id="rId2"/>
  <legacyDrawing r:id="rId1"/>
</worksheet>
</file>

<file path=xl/worksheets/sheet5.xml><?xml version="1.0" encoding="utf-8"?>
<worksheet xmlns="http://schemas.openxmlformats.org/spreadsheetml/2006/main" xmlns:r="http://schemas.openxmlformats.org/officeDocument/2006/relationships">
  <sheetPr codeName="Sheet6">
    <tabColor indexed="50"/>
    <pageSetUpPr fitToPage="1"/>
  </sheetPr>
  <dimension ref="A1:K60"/>
  <sheetViews>
    <sheetView zoomScaleSheetLayoutView="50" zoomScalePageLayoutView="0" workbookViewId="0" topLeftCell="A1">
      <selection activeCell="C9" sqref="C9"/>
    </sheetView>
  </sheetViews>
  <sheetFormatPr defaultColWidth="8.8515625" defaultRowHeight="12.75"/>
  <cols>
    <col min="1" max="1" width="9.7109375" style="0" customWidth="1"/>
    <col min="2" max="2" width="33.7109375" style="0" customWidth="1"/>
    <col min="3" max="3" width="20.421875" style="0" customWidth="1"/>
    <col min="4" max="4" width="4.28125" style="0" customWidth="1"/>
    <col min="5" max="5" width="71.8515625" style="0" customWidth="1"/>
    <col min="6" max="16384" width="9.140625" customWidth="1"/>
  </cols>
  <sheetData>
    <row r="1" ht="15.75">
      <c r="A1" s="38" t="s">
        <v>948</v>
      </c>
    </row>
    <row r="2" ht="12.75">
      <c r="A2" s="44" t="s">
        <v>629</v>
      </c>
    </row>
    <row r="3" ht="12.75">
      <c r="A3" s="1"/>
    </row>
    <row r="4" ht="12.75">
      <c r="A4" s="1"/>
    </row>
    <row r="6" ht="19.5" customHeight="1">
      <c r="A6" s="1"/>
    </row>
    <row r="7" ht="12.75">
      <c r="A7" s="1" t="s">
        <v>666</v>
      </c>
    </row>
    <row r="8" spans="1:2" ht="13.5" thickBot="1">
      <c r="A8" s="4" t="s">
        <v>180</v>
      </c>
      <c r="B8" s="4"/>
    </row>
    <row r="9" spans="1:5" ht="12.75">
      <c r="A9" s="425">
        <v>1</v>
      </c>
      <c r="B9" s="5" t="s">
        <v>519</v>
      </c>
      <c r="C9" s="594"/>
      <c r="D9" s="15"/>
      <c r="E9" s="16" t="s">
        <v>213</v>
      </c>
    </row>
    <row r="10" spans="1:5" ht="13.5" thickBot="1">
      <c r="A10" s="425">
        <v>2</v>
      </c>
      <c r="B10" s="186" t="s">
        <v>818</v>
      </c>
      <c r="C10" s="94">
        <f>C9*0.1</f>
        <v>0</v>
      </c>
      <c r="D10" s="51"/>
      <c r="E10" s="43" t="s">
        <v>213</v>
      </c>
    </row>
    <row r="11" ht="13.5" thickBot="1">
      <c r="A11" s="466"/>
    </row>
    <row r="12" spans="1:5" ht="12.75">
      <c r="A12" s="425">
        <v>3</v>
      </c>
      <c r="B12" s="376" t="s">
        <v>705</v>
      </c>
      <c r="C12" s="128"/>
      <c r="D12" s="15"/>
      <c r="E12" s="16"/>
    </row>
    <row r="13" spans="1:11" ht="12.75">
      <c r="A13" s="425">
        <v>4</v>
      </c>
      <c r="B13" s="311" t="s">
        <v>814</v>
      </c>
      <c r="C13" s="585"/>
      <c r="D13" s="7"/>
      <c r="E13" s="19" t="s">
        <v>91</v>
      </c>
      <c r="F13" s="2"/>
      <c r="G13" s="2"/>
      <c r="H13" s="2"/>
      <c r="I13" s="2"/>
      <c r="J13" s="2"/>
      <c r="K13" s="2"/>
    </row>
    <row r="14" spans="1:11" ht="12.75">
      <c r="A14" s="425">
        <v>5</v>
      </c>
      <c r="B14" s="6" t="s">
        <v>880</v>
      </c>
      <c r="C14" s="585"/>
      <c r="D14" s="7"/>
      <c r="E14" s="19" t="s">
        <v>878</v>
      </c>
      <c r="F14" s="2"/>
      <c r="G14" s="2"/>
      <c r="H14" s="2"/>
      <c r="I14" s="2"/>
      <c r="J14" s="2"/>
      <c r="K14" s="2"/>
    </row>
    <row r="15" spans="1:11" ht="12.75">
      <c r="A15" s="425">
        <v>6</v>
      </c>
      <c r="B15" s="6" t="s">
        <v>881</v>
      </c>
      <c r="C15" s="585"/>
      <c r="D15" s="7"/>
      <c r="E15" s="19" t="s">
        <v>420</v>
      </c>
      <c r="F15" s="2"/>
      <c r="G15" s="2"/>
      <c r="H15" s="2"/>
      <c r="I15" s="2"/>
      <c r="J15" s="2"/>
      <c r="K15" s="2"/>
    </row>
    <row r="16" spans="1:11" ht="12.75">
      <c r="A16" s="425">
        <v>7</v>
      </c>
      <c r="B16" s="6" t="s">
        <v>879</v>
      </c>
      <c r="C16" s="585"/>
      <c r="D16" s="7"/>
      <c r="E16" s="313" t="s">
        <v>917</v>
      </c>
      <c r="F16" s="2"/>
      <c r="G16" s="2"/>
      <c r="H16" s="2"/>
      <c r="I16" s="2"/>
      <c r="J16" s="2"/>
      <c r="K16" s="2"/>
    </row>
    <row r="17" spans="1:11" ht="12.75">
      <c r="A17" s="425">
        <v>8</v>
      </c>
      <c r="B17" s="6" t="s">
        <v>84</v>
      </c>
      <c r="C17" s="366">
        <f>C16*C14</f>
        <v>0</v>
      </c>
      <c r="D17" s="7"/>
      <c r="E17" s="19" t="s">
        <v>423</v>
      </c>
      <c r="F17" s="2"/>
      <c r="G17" s="2"/>
      <c r="H17" s="2"/>
      <c r="I17" s="2"/>
      <c r="J17" s="2"/>
      <c r="K17" s="2"/>
    </row>
    <row r="18" spans="1:11" ht="12.75">
      <c r="A18" s="425">
        <v>9</v>
      </c>
      <c r="B18" s="311" t="s">
        <v>882</v>
      </c>
      <c r="C18" s="368">
        <f>C16+C15*C13*2</f>
        <v>0</v>
      </c>
      <c r="D18" s="7"/>
      <c r="E18" s="19" t="s">
        <v>509</v>
      </c>
      <c r="F18" s="2"/>
      <c r="G18" s="2"/>
      <c r="H18" s="2"/>
      <c r="I18" s="2"/>
      <c r="J18" s="2"/>
      <c r="K18" s="2"/>
    </row>
    <row r="19" spans="1:11" ht="12.75">
      <c r="A19" s="425"/>
      <c r="B19" s="311" t="s">
        <v>883</v>
      </c>
      <c r="C19" s="368">
        <f>C17+C15*C13*2</f>
        <v>0</v>
      </c>
      <c r="D19" s="7"/>
      <c r="E19" s="19" t="s">
        <v>509</v>
      </c>
      <c r="F19" s="2"/>
      <c r="G19" s="2"/>
      <c r="H19" s="2"/>
      <c r="I19" s="2"/>
      <c r="J19" s="2"/>
      <c r="K19" s="2"/>
    </row>
    <row r="20" spans="1:11" ht="12.75">
      <c r="A20" s="425">
        <v>10</v>
      </c>
      <c r="B20" s="311" t="s">
        <v>428</v>
      </c>
      <c r="C20" s="367">
        <f>C13*(C16*C17+C18*C19+SQRT(C16*C17*C18*C19))/3</f>
        <v>0</v>
      </c>
      <c r="D20" s="7"/>
      <c r="E20" s="19" t="s">
        <v>427</v>
      </c>
      <c r="F20" s="2"/>
      <c r="G20" s="2"/>
      <c r="H20" s="2"/>
      <c r="I20" s="2"/>
      <c r="J20" s="2"/>
      <c r="K20" s="2"/>
    </row>
    <row r="21" spans="1:5" ht="13.5" thickBot="1">
      <c r="A21" s="425">
        <v>11</v>
      </c>
      <c r="B21" s="52" t="s">
        <v>508</v>
      </c>
      <c r="C21" s="371" t="str">
        <f>IF(C20&gt;C9,"Okay","Error, increase pond width or depth")</f>
        <v>Error, increase pond width or depth</v>
      </c>
      <c r="D21" s="10"/>
      <c r="E21" s="43"/>
    </row>
    <row r="22" ht="13.5" thickBot="1">
      <c r="A22" s="466"/>
    </row>
    <row r="23" spans="1:5" ht="12.75">
      <c r="A23" s="425">
        <v>12</v>
      </c>
      <c r="B23" s="48" t="s">
        <v>704</v>
      </c>
      <c r="C23" s="642">
        <v>48</v>
      </c>
      <c r="D23" s="15"/>
      <c r="E23" s="33" t="s">
        <v>709</v>
      </c>
    </row>
    <row r="24" spans="1:5" ht="12.75" hidden="1">
      <c r="A24" s="425"/>
      <c r="B24" s="6" t="s">
        <v>132</v>
      </c>
      <c r="C24" s="129">
        <f>(C16+C15*C13)*(C17+C15*C13)</f>
        <v>0</v>
      </c>
      <c r="D24" s="7"/>
      <c r="E24" s="8" t="s">
        <v>526</v>
      </c>
    </row>
    <row r="25" spans="1:5" ht="12.75" hidden="1">
      <c r="A25" s="425"/>
      <c r="B25" s="6" t="s">
        <v>511</v>
      </c>
      <c r="C25" s="377">
        <f>(2*C24*(C13)^0.5)/(3600*0.66*C23*(2*32.2)^0.5)</f>
        <v>0</v>
      </c>
      <c r="D25" s="7"/>
      <c r="E25" s="8" t="s">
        <v>526</v>
      </c>
    </row>
    <row r="26" spans="1:5" ht="12.75">
      <c r="A26" s="425">
        <v>13</v>
      </c>
      <c r="B26" s="6" t="s">
        <v>527</v>
      </c>
      <c r="C26" s="194">
        <f>12*(4*C25/PI())^0.5</f>
        <v>0</v>
      </c>
      <c r="D26" s="7"/>
      <c r="E26" s="8" t="s">
        <v>125</v>
      </c>
    </row>
    <row r="27" spans="1:5" ht="13.5" thickBot="1">
      <c r="A27" s="425">
        <v>14</v>
      </c>
      <c r="B27" s="9" t="s">
        <v>126</v>
      </c>
      <c r="C27" s="375">
        <f>449*0.66*C25*(2*32.2*C13)^0.5</f>
        <v>0</v>
      </c>
      <c r="D27" s="10"/>
      <c r="E27" s="11" t="s">
        <v>817</v>
      </c>
    </row>
    <row r="28" spans="2:5" ht="14.25" hidden="1">
      <c r="B28" s="35" t="s">
        <v>718</v>
      </c>
      <c r="C28" s="197">
        <f>C9/(0.75/12)/0.9</f>
        <v>0</v>
      </c>
      <c r="D28" s="34"/>
      <c r="E28" s="35" t="s">
        <v>375</v>
      </c>
    </row>
    <row r="29" spans="2:5" ht="12.75" hidden="1">
      <c r="B29" s="35" t="s">
        <v>772</v>
      </c>
      <c r="C29" s="198" t="e">
        <f>C19*C18/C28</f>
        <v>#DIV/0!</v>
      </c>
      <c r="D29" s="34"/>
      <c r="E29" s="34"/>
    </row>
    <row r="30" spans="2:3" ht="12.75" hidden="1">
      <c r="B30" s="35" t="s">
        <v>131</v>
      </c>
      <c r="C30" s="179" t="e">
        <f>((C19*C18)+C10/1.5)/C28</f>
        <v>#DIV/0!</v>
      </c>
    </row>
    <row r="32" ht="12.75">
      <c r="A32" s="1" t="s">
        <v>663</v>
      </c>
    </row>
    <row r="33" ht="12.75">
      <c r="A33" s="44" t="s">
        <v>109</v>
      </c>
    </row>
    <row r="35" ht="12.75">
      <c r="A35" s="55" t="s">
        <v>584</v>
      </c>
    </row>
    <row r="36" spans="1:5" ht="12.75">
      <c r="A36" s="483">
        <v>1</v>
      </c>
      <c r="B36" s="718" t="s">
        <v>302</v>
      </c>
      <c r="C36" s="718"/>
      <c r="D36" s="718"/>
      <c r="E36" s="718"/>
    </row>
    <row r="37" spans="1:5" ht="12.75">
      <c r="A37" s="483">
        <v>2</v>
      </c>
      <c r="B37" s="718" t="s">
        <v>401</v>
      </c>
      <c r="C37" s="718"/>
      <c r="D37" s="718"/>
      <c r="E37" s="718"/>
    </row>
    <row r="38" spans="1:5" ht="12.75">
      <c r="A38" s="483">
        <v>3</v>
      </c>
      <c r="B38" s="718" t="s">
        <v>714</v>
      </c>
      <c r="C38" s="718"/>
      <c r="D38" s="718"/>
      <c r="E38" s="718"/>
    </row>
    <row r="39" spans="1:5" ht="39.75" customHeight="1">
      <c r="A39" s="483">
        <v>4</v>
      </c>
      <c r="B39" s="718" t="s">
        <v>833</v>
      </c>
      <c r="C39" s="718"/>
      <c r="D39" s="718"/>
      <c r="E39" s="718"/>
    </row>
    <row r="40" spans="1:5" ht="12.75">
      <c r="A40" s="483">
        <v>5</v>
      </c>
      <c r="B40" s="718" t="s">
        <v>715</v>
      </c>
      <c r="C40" s="718"/>
      <c r="D40" s="718"/>
      <c r="E40" s="718"/>
    </row>
    <row r="41" spans="1:5" ht="24" customHeight="1">
      <c r="A41" s="483">
        <v>6</v>
      </c>
      <c r="B41" s="718" t="s">
        <v>810</v>
      </c>
      <c r="C41" s="718"/>
      <c r="D41" s="718"/>
      <c r="E41" s="718"/>
    </row>
    <row r="42" spans="1:5" ht="12.75">
      <c r="A42" s="483">
        <v>7</v>
      </c>
      <c r="B42" s="734" t="s">
        <v>311</v>
      </c>
      <c r="C42" s="734"/>
      <c r="D42" s="734"/>
      <c r="E42" s="734"/>
    </row>
    <row r="43" spans="1:5" ht="12.75" customHeight="1">
      <c r="A43" s="483">
        <v>8</v>
      </c>
      <c r="B43" s="718" t="s">
        <v>523</v>
      </c>
      <c r="C43" s="718"/>
      <c r="D43" s="718"/>
      <c r="E43" s="718"/>
    </row>
    <row r="44" spans="1:5" ht="12.75">
      <c r="A44" s="483">
        <v>9</v>
      </c>
      <c r="B44" s="718" t="s">
        <v>477</v>
      </c>
      <c r="C44" s="718"/>
      <c r="D44" s="718"/>
      <c r="E44" s="718"/>
    </row>
    <row r="45" spans="1:5" ht="27" customHeight="1">
      <c r="A45" s="483">
        <v>10</v>
      </c>
      <c r="B45" s="718" t="s">
        <v>167</v>
      </c>
      <c r="C45" s="718"/>
      <c r="D45" s="718"/>
      <c r="E45" s="718"/>
    </row>
    <row r="46" spans="1:5" ht="12.75">
      <c r="A46" s="483">
        <v>11</v>
      </c>
      <c r="B46" s="718" t="s">
        <v>90</v>
      </c>
      <c r="C46" s="718"/>
      <c r="D46" s="718"/>
      <c r="E46" s="718"/>
    </row>
    <row r="47" spans="1:5" ht="12.75">
      <c r="A47" s="483">
        <v>12</v>
      </c>
      <c r="B47" s="718" t="s">
        <v>708</v>
      </c>
      <c r="C47" s="718"/>
      <c r="D47" s="718"/>
      <c r="E47" s="718"/>
    </row>
    <row r="48" spans="1:5" ht="37.5" customHeight="1">
      <c r="A48" s="483">
        <v>13</v>
      </c>
      <c r="B48" s="718" t="s">
        <v>463</v>
      </c>
      <c r="C48" s="718"/>
      <c r="D48" s="718"/>
      <c r="E48" s="718"/>
    </row>
    <row r="49" spans="1:5" ht="12.75">
      <c r="A49" s="483">
        <v>14</v>
      </c>
      <c r="B49" s="718" t="s">
        <v>703</v>
      </c>
      <c r="C49" s="718"/>
      <c r="D49" s="718"/>
      <c r="E49" s="718"/>
    </row>
    <row r="50" spans="1:5" s="3" customFormat="1" ht="12.75">
      <c r="A50" s="224"/>
      <c r="B50" s="422"/>
      <c r="C50" s="422"/>
      <c r="D50" s="422"/>
      <c r="E50" s="422"/>
    </row>
    <row r="51" spans="1:5" ht="12.75">
      <c r="A51" s="419" t="s">
        <v>664</v>
      </c>
      <c r="B51" s="149"/>
      <c r="C51" s="149"/>
      <c r="D51" s="149"/>
      <c r="E51" s="149"/>
    </row>
    <row r="52" spans="1:5" ht="24" customHeight="1">
      <c r="A52" s="149"/>
      <c r="B52" s="386" t="s">
        <v>48</v>
      </c>
      <c r="C52" s="718" t="s">
        <v>493</v>
      </c>
      <c r="D52" s="718"/>
      <c r="E52" s="718"/>
    </row>
    <row r="53" spans="1:5" ht="12.75" customHeight="1">
      <c r="A53" s="149"/>
      <c r="B53" s="386" t="s">
        <v>232</v>
      </c>
      <c r="C53" s="718" t="s">
        <v>400</v>
      </c>
      <c r="D53" s="718"/>
      <c r="E53" s="718"/>
    </row>
    <row r="54" spans="1:5" ht="12.75">
      <c r="A54" s="149"/>
      <c r="B54" s="386" t="s">
        <v>510</v>
      </c>
      <c r="C54" s="718" t="s">
        <v>124</v>
      </c>
      <c r="D54" s="718"/>
      <c r="E54" s="718"/>
    </row>
    <row r="55" spans="1:5" ht="12.75" customHeight="1">
      <c r="A55" s="149"/>
      <c r="B55" s="386" t="s">
        <v>965</v>
      </c>
      <c r="C55" s="718" t="s">
        <v>315</v>
      </c>
      <c r="D55" s="718"/>
      <c r="E55" s="718"/>
    </row>
    <row r="56" spans="1:5" ht="24.75" customHeight="1">
      <c r="A56" s="149"/>
      <c r="B56" s="386" t="s">
        <v>316</v>
      </c>
      <c r="C56" s="718" t="s">
        <v>706</v>
      </c>
      <c r="D56" s="718"/>
      <c r="E56" s="718"/>
    </row>
    <row r="57" spans="1:5" ht="12.75" customHeight="1">
      <c r="A57" s="149"/>
      <c r="B57" s="386" t="s">
        <v>113</v>
      </c>
      <c r="C57" s="718" t="s">
        <v>399</v>
      </c>
      <c r="D57" s="718"/>
      <c r="E57" s="718"/>
    </row>
    <row r="58" spans="1:5" ht="12.75" customHeight="1">
      <c r="A58" s="149"/>
      <c r="B58" s="386" t="s">
        <v>815</v>
      </c>
      <c r="C58" s="718" t="s">
        <v>154</v>
      </c>
      <c r="D58" s="718"/>
      <c r="E58" s="718"/>
    </row>
    <row r="60" ht="12.75">
      <c r="C60" s="237"/>
    </row>
  </sheetData>
  <sheetProtection selectLockedCells="1"/>
  <mergeCells count="21">
    <mergeCell ref="B47:E47"/>
    <mergeCell ref="B36:E36"/>
    <mergeCell ref="B37:E37"/>
    <mergeCell ref="B38:E38"/>
    <mergeCell ref="B39:E39"/>
    <mergeCell ref="B40:E40"/>
    <mergeCell ref="B41:E41"/>
    <mergeCell ref="C55:E55"/>
    <mergeCell ref="C57:E57"/>
    <mergeCell ref="C58:E58"/>
    <mergeCell ref="C56:E56"/>
    <mergeCell ref="B49:E49"/>
    <mergeCell ref="B42:E42"/>
    <mergeCell ref="B44:E44"/>
    <mergeCell ref="C54:E54"/>
    <mergeCell ref="B48:E48"/>
    <mergeCell ref="C52:E52"/>
    <mergeCell ref="C53:E53"/>
    <mergeCell ref="B45:E45"/>
    <mergeCell ref="B43:E43"/>
    <mergeCell ref="B46:E46"/>
  </mergeCells>
  <printOptions/>
  <pageMargins left="0.5" right="0.5" top="0.35" bottom="0.4" header="0.35" footer="0.4"/>
  <pageSetup fitToHeight="0" fitToWidth="1" orientation="landscape" scale="93" r:id="rId3"/>
  <headerFooter alignWithMargins="0">
    <oddFooter>&amp;L&amp;8November 2011 Version</oddFooter>
  </headerFooter>
  <rowBreaks count="1" manualBreakCount="1">
    <brk id="31" max="4" man="1"/>
  </rowBreaks>
  <drawing r:id="rId2"/>
  <legacyDrawing r:id="rId1"/>
</worksheet>
</file>

<file path=xl/worksheets/sheet6.xml><?xml version="1.0" encoding="utf-8"?>
<worksheet xmlns="http://schemas.openxmlformats.org/spreadsheetml/2006/main" xmlns:r="http://schemas.openxmlformats.org/officeDocument/2006/relationships">
  <sheetPr codeName="Sheet9">
    <tabColor indexed="50"/>
    <pageSetUpPr fitToPage="1"/>
  </sheetPr>
  <dimension ref="A1:K50"/>
  <sheetViews>
    <sheetView zoomScaleSheetLayoutView="50" zoomScalePageLayoutView="0" workbookViewId="0" topLeftCell="A1">
      <selection activeCell="C10" sqref="C10"/>
    </sheetView>
  </sheetViews>
  <sheetFormatPr defaultColWidth="8.8515625" defaultRowHeight="12.75"/>
  <cols>
    <col min="1" max="1" width="9.7109375" style="0" customWidth="1"/>
    <col min="2" max="2" width="29.28125" style="0" customWidth="1"/>
    <col min="3" max="3" width="12.421875" style="0" customWidth="1"/>
    <col min="4" max="4" width="1.8515625" style="0" customWidth="1"/>
    <col min="5" max="5" width="28.7109375" style="0" customWidth="1"/>
    <col min="6" max="6" width="3.7109375" style="0" customWidth="1"/>
    <col min="7" max="7" width="9.140625" customWidth="1"/>
    <col min="8" max="8" width="28.421875" style="0" customWidth="1"/>
    <col min="9" max="9" width="9.140625" customWidth="1"/>
    <col min="10" max="10" width="1.8515625" style="0" customWidth="1"/>
    <col min="11" max="11" width="16.7109375" style="0" customWidth="1"/>
    <col min="12" max="16384" width="9.140625" customWidth="1"/>
  </cols>
  <sheetData>
    <row r="1" ht="15.75" customHeight="1">
      <c r="A1" s="39" t="s">
        <v>437</v>
      </c>
    </row>
    <row r="2" spans="1:7" s="32" customFormat="1" ht="12.75">
      <c r="A2" t="s">
        <v>627</v>
      </c>
      <c r="E2"/>
      <c r="F2"/>
      <c r="G2"/>
    </row>
    <row r="3" spans="1:7" s="32" customFormat="1" ht="12.75">
      <c r="A3" s="1"/>
      <c r="E3"/>
      <c r="F3"/>
      <c r="G3"/>
    </row>
    <row r="4" ht="12.75">
      <c r="A4" s="1"/>
    </row>
    <row r="5" ht="12.75">
      <c r="A5" s="1"/>
    </row>
    <row r="8" ht="12.75">
      <c r="A8" s="1" t="s">
        <v>666</v>
      </c>
    </row>
    <row r="9" spans="1:2" ht="13.5" thickBot="1">
      <c r="A9" s="1" t="s">
        <v>27</v>
      </c>
      <c r="B9" s="1"/>
    </row>
    <row r="10" spans="1:6" ht="12.75">
      <c r="A10" s="425">
        <v>1</v>
      </c>
      <c r="B10" s="5" t="s">
        <v>519</v>
      </c>
      <c r="C10" s="640"/>
      <c r="D10" s="15"/>
      <c r="E10" s="16" t="s">
        <v>213</v>
      </c>
      <c r="F10" s="7"/>
    </row>
    <row r="11" spans="1:6" ht="12.75">
      <c r="A11" s="425">
        <v>2</v>
      </c>
      <c r="B11" s="6" t="s">
        <v>144</v>
      </c>
      <c r="C11" s="596"/>
      <c r="D11" s="7"/>
      <c r="E11" s="73" t="s">
        <v>555</v>
      </c>
      <c r="F11" s="7"/>
    </row>
    <row r="12" spans="1:6" ht="13.5" thickBot="1">
      <c r="A12" s="425">
        <v>3</v>
      </c>
      <c r="B12" s="17" t="s">
        <v>899</v>
      </c>
      <c r="C12" s="641"/>
      <c r="D12" s="10"/>
      <c r="E12" s="124" t="s">
        <v>773</v>
      </c>
      <c r="F12" s="7"/>
    </row>
    <row r="13" spans="1:6" ht="13.5" thickBot="1">
      <c r="A13" s="466"/>
      <c r="F13" s="7"/>
    </row>
    <row r="14" spans="1:6" ht="12.75">
      <c r="A14" s="425">
        <v>4</v>
      </c>
      <c r="B14" s="199" t="s">
        <v>634</v>
      </c>
      <c r="C14" s="192" t="e">
        <f>C15*C12</f>
        <v>#DIV/0!</v>
      </c>
      <c r="D14" s="83"/>
      <c r="E14" s="33" t="s">
        <v>635</v>
      </c>
      <c r="F14" s="2"/>
    </row>
    <row r="15" spans="1:6" ht="13.5" thickBot="1">
      <c r="A15" s="425"/>
      <c r="B15" s="186" t="s">
        <v>633</v>
      </c>
      <c r="C15" s="202" t="e">
        <f>(C10/C11/C12)^0.5</f>
        <v>#DIV/0!</v>
      </c>
      <c r="D15" s="51"/>
      <c r="E15" s="43" t="s">
        <v>635</v>
      </c>
      <c r="F15" s="2"/>
    </row>
    <row r="16" ht="13.5" thickBot="1">
      <c r="A16" s="466"/>
    </row>
    <row r="17" spans="1:5" ht="12.75">
      <c r="A17" s="425">
        <v>5</v>
      </c>
      <c r="B17" s="5" t="s">
        <v>701</v>
      </c>
      <c r="C17" s="642">
        <v>48</v>
      </c>
      <c r="D17" s="15"/>
      <c r="E17" s="16" t="s">
        <v>532</v>
      </c>
    </row>
    <row r="18" spans="1:5" ht="13.5" thickBot="1">
      <c r="A18" s="425">
        <v>6</v>
      </c>
      <c r="B18" s="333" t="s">
        <v>112</v>
      </c>
      <c r="C18" s="374">
        <f>C10/C17/3600*449</f>
        <v>0</v>
      </c>
      <c r="D18" s="51"/>
      <c r="E18" s="43" t="s">
        <v>811</v>
      </c>
    </row>
    <row r="19" spans="2:5" ht="14.25" hidden="1">
      <c r="B19" s="35" t="s">
        <v>771</v>
      </c>
      <c r="C19" s="197">
        <f>C10/(0.75/12)/0.9</f>
        <v>0</v>
      </c>
      <c r="D19" s="34"/>
      <c r="E19" s="35" t="s">
        <v>375</v>
      </c>
    </row>
    <row r="20" spans="2:5" ht="12.75" hidden="1">
      <c r="B20" s="35" t="s">
        <v>772</v>
      </c>
      <c r="C20" s="198" t="e">
        <f>C14*C15/C19</f>
        <v>#DIV/0!</v>
      </c>
      <c r="D20" s="34"/>
      <c r="E20" s="34"/>
    </row>
    <row r="22" spans="1:3" ht="13.5" thickBot="1">
      <c r="A22" s="1" t="s">
        <v>850</v>
      </c>
      <c r="C22" s="1"/>
    </row>
    <row r="23" spans="1:5" ht="12.75">
      <c r="A23" s="425">
        <v>7</v>
      </c>
      <c r="B23" s="5" t="s">
        <v>440</v>
      </c>
      <c r="C23" s="643"/>
      <c r="D23" s="15"/>
      <c r="E23" s="16" t="s">
        <v>208</v>
      </c>
    </row>
    <row r="24" spans="1:5" ht="12.75">
      <c r="A24" s="425">
        <v>8</v>
      </c>
      <c r="B24" s="6" t="s">
        <v>867</v>
      </c>
      <c r="C24" s="596"/>
      <c r="D24" s="7"/>
      <c r="E24" s="8" t="s">
        <v>635</v>
      </c>
    </row>
    <row r="25" spans="1:5" ht="13.5" thickBot="1">
      <c r="A25" s="425">
        <v>9</v>
      </c>
      <c r="B25" s="186" t="s">
        <v>298</v>
      </c>
      <c r="C25" s="157">
        <f>$C$23*$C$24</f>
        <v>0</v>
      </c>
      <c r="D25" s="51"/>
      <c r="E25" s="43" t="s">
        <v>213</v>
      </c>
    </row>
    <row r="27" ht="12.75">
      <c r="A27" s="1" t="s">
        <v>663</v>
      </c>
    </row>
    <row r="28" ht="12.75">
      <c r="A28" s="44" t="s">
        <v>441</v>
      </c>
    </row>
    <row r="30" ht="12.75">
      <c r="A30" s="55" t="s">
        <v>584</v>
      </c>
    </row>
    <row r="31" ht="12.75">
      <c r="A31" s="419" t="s">
        <v>809</v>
      </c>
    </row>
    <row r="32" spans="1:11" ht="26.25" customHeight="1">
      <c r="A32" s="483">
        <v>1</v>
      </c>
      <c r="B32" s="729" t="s">
        <v>834</v>
      </c>
      <c r="C32" s="718"/>
      <c r="D32" s="718"/>
      <c r="E32" s="718"/>
      <c r="F32" s="718"/>
      <c r="G32" s="718"/>
      <c r="H32" s="718"/>
      <c r="I32" s="718"/>
      <c r="J32" s="718"/>
      <c r="K32" s="718"/>
    </row>
    <row r="33" spans="1:11" ht="26.25" customHeight="1">
      <c r="A33" s="483">
        <v>2</v>
      </c>
      <c r="B33" s="729" t="s">
        <v>556</v>
      </c>
      <c r="C33" s="718"/>
      <c r="D33" s="718"/>
      <c r="E33" s="718"/>
      <c r="F33" s="718"/>
      <c r="G33" s="718"/>
      <c r="H33" s="718"/>
      <c r="I33" s="718"/>
      <c r="J33" s="718"/>
      <c r="K33" s="718"/>
    </row>
    <row r="34" spans="1:11" ht="12.75">
      <c r="A34" s="483">
        <v>3</v>
      </c>
      <c r="B34" s="148" t="s">
        <v>38</v>
      </c>
      <c r="C34" s="149"/>
      <c r="D34" s="149"/>
      <c r="E34" s="149"/>
      <c r="F34" s="149"/>
      <c r="G34" s="149"/>
      <c r="H34" s="149"/>
      <c r="I34" s="149"/>
      <c r="J34" s="149"/>
      <c r="K34" s="149"/>
    </row>
    <row r="35" spans="1:11" ht="12.75">
      <c r="A35" s="483">
        <v>4</v>
      </c>
      <c r="B35" s="149" t="s">
        <v>369</v>
      </c>
      <c r="C35" s="149"/>
      <c r="D35" s="149"/>
      <c r="E35" s="149"/>
      <c r="F35" s="149"/>
      <c r="G35" s="149"/>
      <c r="H35" s="149"/>
      <c r="I35" s="149"/>
      <c r="J35" s="149"/>
      <c r="K35" s="149"/>
    </row>
    <row r="36" spans="1:11" ht="12.75">
      <c r="A36" s="483">
        <v>5</v>
      </c>
      <c r="B36" s="149" t="s">
        <v>39</v>
      </c>
      <c r="C36" s="149"/>
      <c r="D36" s="149"/>
      <c r="E36" s="149"/>
      <c r="F36" s="149"/>
      <c r="G36" s="149"/>
      <c r="H36" s="149"/>
      <c r="I36" s="149"/>
      <c r="J36" s="149"/>
      <c r="K36" s="149"/>
    </row>
    <row r="37" spans="1:11" ht="23.25" customHeight="1">
      <c r="A37" s="483">
        <v>6</v>
      </c>
      <c r="B37" s="718" t="s">
        <v>137</v>
      </c>
      <c r="C37" s="718"/>
      <c r="D37" s="718"/>
      <c r="E37" s="718"/>
      <c r="F37" s="718"/>
      <c r="G37" s="718"/>
      <c r="H37" s="718"/>
      <c r="I37" s="718"/>
      <c r="J37" s="718"/>
      <c r="K37" s="718"/>
    </row>
    <row r="38" spans="1:11" ht="12.75">
      <c r="A38" s="149"/>
      <c r="B38" s="149"/>
      <c r="C38" s="149"/>
      <c r="D38" s="149"/>
      <c r="E38" s="149"/>
      <c r="F38" s="149"/>
      <c r="G38" s="149"/>
      <c r="H38" s="149"/>
      <c r="I38" s="149"/>
      <c r="J38" s="149"/>
      <c r="K38" s="149"/>
    </row>
    <row r="39" spans="1:11" ht="12.75">
      <c r="A39" s="175" t="s">
        <v>865</v>
      </c>
      <c r="B39" s="149"/>
      <c r="C39" s="149"/>
      <c r="D39" s="149"/>
      <c r="E39" s="149"/>
      <c r="F39" s="149"/>
      <c r="G39" s="149"/>
      <c r="H39" s="149"/>
      <c r="I39" s="149"/>
      <c r="J39" s="149"/>
      <c r="K39" s="149"/>
    </row>
    <row r="40" spans="1:11" ht="12.75">
      <c r="A40" s="483">
        <v>7</v>
      </c>
      <c r="B40" s="149" t="s">
        <v>431</v>
      </c>
      <c r="C40" s="149"/>
      <c r="D40" s="149"/>
      <c r="E40" s="149"/>
      <c r="F40" s="149"/>
      <c r="G40" s="149"/>
      <c r="H40" s="149"/>
      <c r="I40" s="149"/>
      <c r="J40" s="149"/>
      <c r="K40" s="149"/>
    </row>
    <row r="41" spans="1:11" ht="12.75">
      <c r="A41" s="483">
        <v>8</v>
      </c>
      <c r="B41" s="149" t="s">
        <v>661</v>
      </c>
      <c r="C41" s="149"/>
      <c r="D41" s="149"/>
      <c r="E41" s="149"/>
      <c r="F41" s="149"/>
      <c r="G41" s="149"/>
      <c r="H41" s="149"/>
      <c r="I41" s="149"/>
      <c r="J41" s="149"/>
      <c r="K41" s="149"/>
    </row>
    <row r="42" spans="1:11" ht="12.75">
      <c r="A42" s="483">
        <v>9</v>
      </c>
      <c r="B42" s="718" t="s">
        <v>864</v>
      </c>
      <c r="C42" s="718"/>
      <c r="D42" s="718"/>
      <c r="E42" s="718"/>
      <c r="F42" s="718"/>
      <c r="G42" s="718"/>
      <c r="H42" s="718"/>
      <c r="I42" s="718"/>
      <c r="J42" s="718"/>
      <c r="K42" s="718"/>
    </row>
    <row r="43" spans="1:11" ht="12.75">
      <c r="A43" s="149"/>
      <c r="B43" s="149"/>
      <c r="C43" s="149"/>
      <c r="D43" s="149"/>
      <c r="E43" s="149"/>
      <c r="F43" s="149"/>
      <c r="G43" s="149"/>
      <c r="H43" s="149"/>
      <c r="I43" s="149"/>
      <c r="J43" s="149"/>
      <c r="K43" s="149"/>
    </row>
    <row r="44" spans="1:11" ht="12.75">
      <c r="A44" s="419" t="s">
        <v>664</v>
      </c>
      <c r="B44" s="149"/>
      <c r="C44" s="149"/>
      <c r="D44" s="149"/>
      <c r="E44" s="149"/>
      <c r="F44" s="149"/>
      <c r="G44" s="149"/>
      <c r="H44" s="149"/>
      <c r="I44" s="149"/>
      <c r="J44" s="149"/>
      <c r="K44" s="149"/>
    </row>
    <row r="45" spans="1:11" ht="24.75" customHeight="1">
      <c r="A45" s="149"/>
      <c r="B45" s="386" t="s">
        <v>48</v>
      </c>
      <c r="C45" s="718" t="s">
        <v>493</v>
      </c>
      <c r="D45" s="718"/>
      <c r="E45" s="718"/>
      <c r="F45" s="718"/>
      <c r="G45" s="718"/>
      <c r="H45" s="718"/>
      <c r="I45" s="718"/>
      <c r="J45" s="718"/>
      <c r="K45" s="718"/>
    </row>
    <row r="46" spans="1:11" ht="12.75">
      <c r="A46" s="149"/>
      <c r="B46" s="386" t="s">
        <v>866</v>
      </c>
      <c r="C46" s="148" t="s">
        <v>554</v>
      </c>
      <c r="D46" s="149"/>
      <c r="E46" s="149"/>
      <c r="F46" s="149"/>
      <c r="G46" s="149"/>
      <c r="H46" s="149"/>
      <c r="I46" s="149"/>
      <c r="J46" s="149"/>
      <c r="K46" s="149"/>
    </row>
    <row r="47" spans="1:11" ht="12.75">
      <c r="A47" s="149"/>
      <c r="B47" s="386" t="s">
        <v>634</v>
      </c>
      <c r="C47" s="148" t="s">
        <v>438</v>
      </c>
      <c r="D47" s="149"/>
      <c r="E47" s="149"/>
      <c r="F47" s="149"/>
      <c r="G47" s="149"/>
      <c r="H47" s="149"/>
      <c r="I47" s="149"/>
      <c r="J47" s="149"/>
      <c r="K47" s="149"/>
    </row>
    <row r="48" spans="1:11" ht="12.75">
      <c r="A48" s="149"/>
      <c r="B48" s="386" t="s">
        <v>633</v>
      </c>
      <c r="C48" s="148" t="s">
        <v>439</v>
      </c>
      <c r="D48" s="149"/>
      <c r="E48" s="149"/>
      <c r="F48" s="149"/>
      <c r="G48" s="149"/>
      <c r="H48" s="149"/>
      <c r="I48" s="149"/>
      <c r="J48" s="149"/>
      <c r="K48" s="149"/>
    </row>
    <row r="49" spans="1:11" ht="12.75">
      <c r="A49" s="149"/>
      <c r="B49" s="386" t="s">
        <v>1009</v>
      </c>
      <c r="C49" s="148" t="s">
        <v>238</v>
      </c>
      <c r="D49" s="149"/>
      <c r="E49" s="149"/>
      <c r="F49" s="149"/>
      <c r="G49" s="149"/>
      <c r="H49" s="149"/>
      <c r="I49" s="149"/>
      <c r="J49" s="149"/>
      <c r="K49" s="149"/>
    </row>
    <row r="50" spans="1:11" ht="12.75">
      <c r="A50" s="149"/>
      <c r="B50" s="386" t="s">
        <v>113</v>
      </c>
      <c r="C50" s="491" t="s">
        <v>399</v>
      </c>
      <c r="D50" s="149"/>
      <c r="E50" s="149"/>
      <c r="F50" s="149"/>
      <c r="G50" s="149"/>
      <c r="H50" s="149"/>
      <c r="I50" s="149"/>
      <c r="J50" s="149"/>
      <c r="K50" s="149"/>
    </row>
  </sheetData>
  <sheetProtection selectLockedCells="1"/>
  <mergeCells count="5">
    <mergeCell ref="B32:K32"/>
    <mergeCell ref="C45:K45"/>
    <mergeCell ref="B33:K33"/>
    <mergeCell ref="B37:K37"/>
    <mergeCell ref="B42:K42"/>
  </mergeCells>
  <dataValidations count="1">
    <dataValidation allowBlank="1" showInputMessage="1" errorTitle="Enter Length Divided by Width" error="Enter a number between 0 and 6.  For example, if the vault will have a length to width ratio of 2:1, enter 2. " sqref="C12"/>
  </dataValidations>
  <printOptions/>
  <pageMargins left="0.5" right="0.5" top="0.35" bottom="0.4" header="0.35" footer="0.4"/>
  <pageSetup fitToHeight="0" fitToWidth="1" horizontalDpi="600" verticalDpi="600" orientation="landscape" scale="86" r:id="rId3"/>
  <headerFooter alignWithMargins="0">
    <oddFooter>&amp;L&amp;8November 2011 Version</oddFooter>
  </headerFooter>
  <drawing r:id="rId2"/>
  <legacyDrawing r:id="rId1"/>
</worksheet>
</file>

<file path=xl/worksheets/sheet7.xml><?xml version="1.0" encoding="utf-8"?>
<worksheet xmlns="http://schemas.openxmlformats.org/spreadsheetml/2006/main" xmlns:r="http://schemas.openxmlformats.org/officeDocument/2006/relationships">
  <sheetPr codeName="Sheet8">
    <tabColor indexed="50"/>
    <pageSetUpPr fitToPage="1"/>
  </sheetPr>
  <dimension ref="A1:K76"/>
  <sheetViews>
    <sheetView zoomScaleSheetLayoutView="50" zoomScalePageLayoutView="0" workbookViewId="0" topLeftCell="A1">
      <selection activeCell="C9" sqref="C9"/>
    </sheetView>
  </sheetViews>
  <sheetFormatPr defaultColWidth="8.8515625" defaultRowHeight="12.75"/>
  <cols>
    <col min="1" max="1" width="9.7109375" style="0" customWidth="1"/>
    <col min="2" max="2" width="36.140625" style="0" customWidth="1"/>
    <col min="3" max="3" width="20.7109375" style="0" customWidth="1"/>
    <col min="4" max="4" width="3.28125" style="0" customWidth="1"/>
    <col min="5" max="5" width="72.8515625" style="0" customWidth="1"/>
    <col min="6" max="16384" width="9.140625" customWidth="1"/>
  </cols>
  <sheetData>
    <row r="1" ht="15.75">
      <c r="A1" s="38" t="s">
        <v>964</v>
      </c>
    </row>
    <row r="2" ht="12.75">
      <c r="A2" s="44" t="s">
        <v>672</v>
      </c>
    </row>
    <row r="3" ht="12.75">
      <c r="A3" s="1"/>
    </row>
    <row r="4" ht="12.75">
      <c r="A4" s="1"/>
    </row>
    <row r="6" ht="16.5" customHeight="1">
      <c r="A6" s="1"/>
    </row>
    <row r="7" ht="12.75">
      <c r="A7" s="1" t="s">
        <v>666</v>
      </c>
    </row>
    <row r="8" spans="1:2" ht="13.5" thickBot="1">
      <c r="A8" s="1" t="s">
        <v>145</v>
      </c>
      <c r="B8" s="1"/>
    </row>
    <row r="9" spans="1:5" ht="13.5" thickBot="1">
      <c r="A9" s="425">
        <v>1</v>
      </c>
      <c r="B9" s="302" t="s">
        <v>519</v>
      </c>
      <c r="C9" s="644"/>
      <c r="D9" s="18"/>
      <c r="E9" s="303" t="s">
        <v>213</v>
      </c>
    </row>
    <row r="10" spans="1:3" ht="13.5" thickBot="1">
      <c r="A10" s="466"/>
      <c r="C10" s="50"/>
    </row>
    <row r="11" spans="1:5" ht="12.75">
      <c r="A11" s="425">
        <v>2</v>
      </c>
      <c r="B11" s="199" t="s">
        <v>179</v>
      </c>
      <c r="C11" s="134">
        <f>C14*0.1</f>
        <v>0</v>
      </c>
      <c r="D11" s="83"/>
      <c r="E11" s="33" t="s">
        <v>213</v>
      </c>
    </row>
    <row r="12" spans="1:5" ht="12.75">
      <c r="A12" s="425">
        <v>3</v>
      </c>
      <c r="B12" s="311" t="s">
        <v>71</v>
      </c>
      <c r="C12" s="645"/>
      <c r="D12" s="2"/>
      <c r="E12" s="19"/>
    </row>
    <row r="13" spans="1:5" ht="12.75">
      <c r="A13" s="425">
        <v>4</v>
      </c>
      <c r="B13" s="170" t="s">
        <v>624</v>
      </c>
      <c r="C13" s="142">
        <f>IF(C12="Wet Pond",$C$9*2,C9)</f>
        <v>0</v>
      </c>
      <c r="D13" s="2"/>
      <c r="E13" s="19" t="s">
        <v>213</v>
      </c>
    </row>
    <row r="14" spans="1:5" ht="13.5" thickBot="1">
      <c r="A14" s="425">
        <v>5</v>
      </c>
      <c r="B14" s="186" t="s">
        <v>181</v>
      </c>
      <c r="C14" s="157">
        <f>$C$9</f>
        <v>0</v>
      </c>
      <c r="D14" s="51"/>
      <c r="E14" s="43" t="s">
        <v>213</v>
      </c>
    </row>
    <row r="15" spans="1:5" ht="13.5" thickBot="1">
      <c r="A15" s="466"/>
      <c r="B15" s="20"/>
      <c r="C15" s="67"/>
      <c r="D15" s="2"/>
      <c r="E15" s="2"/>
    </row>
    <row r="16" spans="1:5" ht="12.75">
      <c r="A16" s="425">
        <v>6</v>
      </c>
      <c r="B16" s="376" t="s">
        <v>402</v>
      </c>
      <c r="C16" s="203"/>
      <c r="D16" s="15"/>
      <c r="E16" s="16"/>
    </row>
    <row r="17" spans="1:5" ht="12.75">
      <c r="A17" s="425">
        <v>7</v>
      </c>
      <c r="B17" s="318" t="s">
        <v>85</v>
      </c>
      <c r="C17" s="646"/>
      <c r="D17" s="7"/>
      <c r="E17" s="8" t="s">
        <v>897</v>
      </c>
    </row>
    <row r="18" spans="1:5" ht="12.75">
      <c r="A18" s="425">
        <v>8</v>
      </c>
      <c r="B18" s="318" t="s">
        <v>403</v>
      </c>
      <c r="C18" s="646"/>
      <c r="D18" s="7"/>
      <c r="E18" s="8" t="s">
        <v>70</v>
      </c>
    </row>
    <row r="19" spans="1:5" ht="12.75">
      <c r="A19" s="425">
        <v>9</v>
      </c>
      <c r="B19" s="318" t="s">
        <v>404</v>
      </c>
      <c r="C19" s="385">
        <f>C18+C17</f>
        <v>0</v>
      </c>
      <c r="D19" s="7"/>
      <c r="E19" s="8" t="s">
        <v>405</v>
      </c>
    </row>
    <row r="20" spans="1:5" ht="12.75">
      <c r="A20" s="425">
        <v>10</v>
      </c>
      <c r="B20" s="6" t="s">
        <v>468</v>
      </c>
      <c r="C20" s="647"/>
      <c r="D20" s="7"/>
      <c r="E20" s="19" t="s">
        <v>878</v>
      </c>
    </row>
    <row r="21" spans="1:11" ht="12.75">
      <c r="A21" s="425">
        <v>11</v>
      </c>
      <c r="B21" s="6" t="s">
        <v>469</v>
      </c>
      <c r="C21" s="647"/>
      <c r="D21" s="7"/>
      <c r="E21" s="19" t="s">
        <v>420</v>
      </c>
      <c r="G21" s="2"/>
      <c r="H21" s="2"/>
      <c r="I21" s="2"/>
      <c r="J21" s="2"/>
      <c r="K21" s="2"/>
    </row>
    <row r="22" spans="1:11" ht="12.75">
      <c r="A22" s="425">
        <v>12</v>
      </c>
      <c r="B22" s="6" t="s">
        <v>470</v>
      </c>
      <c r="C22" s="647"/>
      <c r="D22" s="7"/>
      <c r="E22" s="19" t="s">
        <v>135</v>
      </c>
      <c r="G22" s="2"/>
      <c r="H22" s="2"/>
      <c r="I22" s="2"/>
      <c r="J22" s="2"/>
      <c r="K22" s="2"/>
    </row>
    <row r="23" spans="1:11" ht="12.75">
      <c r="A23" s="425">
        <v>13</v>
      </c>
      <c r="B23" s="6" t="s">
        <v>471</v>
      </c>
      <c r="C23" s="385">
        <f>C22*C20</f>
        <v>0</v>
      </c>
      <c r="D23" s="7"/>
      <c r="E23" s="19" t="s">
        <v>423</v>
      </c>
      <c r="G23" s="2"/>
      <c r="H23" s="2"/>
      <c r="I23" s="2"/>
      <c r="J23" s="2"/>
      <c r="K23" s="2"/>
    </row>
    <row r="24" spans="1:11" ht="12.75">
      <c r="A24" s="425">
        <v>14</v>
      </c>
      <c r="B24" s="311" t="s">
        <v>472</v>
      </c>
      <c r="C24" s="385">
        <f>C22+C21*C17*2</f>
        <v>0</v>
      </c>
      <c r="D24" s="7"/>
      <c r="E24" s="19" t="s">
        <v>509</v>
      </c>
      <c r="G24" s="2"/>
      <c r="H24" s="2"/>
      <c r="I24" s="2"/>
      <c r="J24" s="2"/>
      <c r="K24" s="2"/>
    </row>
    <row r="25" spans="1:11" ht="12.75">
      <c r="A25" s="425"/>
      <c r="B25" s="311" t="s">
        <v>473</v>
      </c>
      <c r="C25" s="385">
        <f>C23+C21*C17*2</f>
        <v>0</v>
      </c>
      <c r="D25" s="7"/>
      <c r="E25" s="19" t="s">
        <v>509</v>
      </c>
      <c r="G25" s="2"/>
      <c r="H25" s="2"/>
      <c r="I25" s="2"/>
      <c r="J25" s="2"/>
      <c r="K25" s="2"/>
    </row>
    <row r="26" spans="1:11" ht="12.75">
      <c r="A26" s="425"/>
      <c r="B26" s="311" t="s">
        <v>474</v>
      </c>
      <c r="C26" s="385">
        <f>C22+C21*C19*2</f>
        <v>0</v>
      </c>
      <c r="D26" s="7"/>
      <c r="E26" s="19" t="s">
        <v>509</v>
      </c>
      <c r="G26" s="2"/>
      <c r="H26" s="2"/>
      <c r="I26" s="2"/>
      <c r="J26" s="2"/>
      <c r="K26" s="2"/>
    </row>
    <row r="27" spans="1:11" ht="12.75">
      <c r="A27" s="425"/>
      <c r="B27" s="311" t="s">
        <v>475</v>
      </c>
      <c r="C27" s="385">
        <f>C23+C21*C19*2</f>
        <v>0</v>
      </c>
      <c r="D27" s="7"/>
      <c r="E27" s="19" t="s">
        <v>509</v>
      </c>
      <c r="G27" s="2"/>
      <c r="H27" s="2"/>
      <c r="I27" s="2"/>
      <c r="J27" s="2"/>
      <c r="K27" s="2"/>
    </row>
    <row r="28" spans="1:11" ht="12.75">
      <c r="A28" s="425">
        <v>15</v>
      </c>
      <c r="B28" s="311" t="s">
        <v>87</v>
      </c>
      <c r="C28" s="367">
        <f>C17*(C22*C23+C24*C25+SQRT(C22*C23*C24*C25))/3</f>
        <v>0</v>
      </c>
      <c r="D28" s="7"/>
      <c r="E28" s="19" t="s">
        <v>127</v>
      </c>
      <c r="G28" s="2"/>
      <c r="H28" s="2"/>
      <c r="I28" s="2"/>
      <c r="J28" s="2"/>
      <c r="K28" s="2"/>
    </row>
    <row r="29" spans="1:11" ht="12.75">
      <c r="A29" s="425"/>
      <c r="B29" s="311" t="s">
        <v>86</v>
      </c>
      <c r="C29" s="367">
        <f>C19*(C22*C23+C26*C27+SQRT(C22*C23*C26*C27))/3-C28</f>
        <v>0</v>
      </c>
      <c r="D29" s="7"/>
      <c r="E29" s="19" t="s">
        <v>427</v>
      </c>
      <c r="G29" s="2"/>
      <c r="H29" s="2"/>
      <c r="I29" s="2"/>
      <c r="J29" s="2"/>
      <c r="K29" s="2"/>
    </row>
    <row r="30" spans="1:5" ht="12.75">
      <c r="A30" s="425">
        <v>16</v>
      </c>
      <c r="B30" s="383" t="s">
        <v>88</v>
      </c>
      <c r="C30" s="384" t="str">
        <f>IF(C28&gt;C13,"Okay","Error, increase pond width or depth")</f>
        <v>Error, increase pond width or depth</v>
      </c>
      <c r="D30" s="7"/>
      <c r="E30" s="19"/>
    </row>
    <row r="31" spans="1:5" ht="13.5" thickBot="1">
      <c r="A31" s="425"/>
      <c r="B31" s="52" t="s">
        <v>89</v>
      </c>
      <c r="C31" s="371" t="str">
        <f>IF(C29&gt;C14,"Okay","Error, increase pond width or depth")</f>
        <v>Error, increase pond width or depth</v>
      </c>
      <c r="D31" s="10"/>
      <c r="E31" s="43"/>
    </row>
    <row r="32" spans="1:5" ht="13.5" thickBot="1">
      <c r="A32" s="466"/>
      <c r="B32" s="372"/>
      <c r="C32" s="372"/>
      <c r="D32" s="2"/>
      <c r="E32" s="2"/>
    </row>
    <row r="33" spans="1:5" ht="12.75">
      <c r="A33" s="425">
        <v>17</v>
      </c>
      <c r="B33" s="48" t="s">
        <v>72</v>
      </c>
      <c r="C33" s="642">
        <v>48</v>
      </c>
      <c r="D33" s="15"/>
      <c r="E33" s="33" t="s">
        <v>73</v>
      </c>
    </row>
    <row r="34" spans="1:5" ht="12.75" hidden="1">
      <c r="A34" s="425"/>
      <c r="B34" s="6" t="s">
        <v>132</v>
      </c>
      <c r="C34" s="129">
        <f>(C24+C18*C21)*(C25+C18*C21)</f>
        <v>0</v>
      </c>
      <c r="D34" s="7"/>
      <c r="E34" s="8" t="s">
        <v>526</v>
      </c>
    </row>
    <row r="35" spans="1:5" ht="12.75" hidden="1">
      <c r="A35" s="425"/>
      <c r="B35" s="6" t="s">
        <v>511</v>
      </c>
      <c r="C35" s="377">
        <f>(2*C34*(C18)^0.5)/(3600*0.66*C33*(2*32.2)^0.5)</f>
        <v>0</v>
      </c>
      <c r="D35" s="7"/>
      <c r="E35" s="8" t="s">
        <v>526</v>
      </c>
    </row>
    <row r="36" spans="1:5" ht="12.75">
      <c r="A36" s="425">
        <v>18</v>
      </c>
      <c r="B36" s="6" t="s">
        <v>527</v>
      </c>
      <c r="C36" s="194">
        <f>12*(4*C35/PI())^0.5</f>
        <v>0</v>
      </c>
      <c r="D36" s="7"/>
      <c r="E36" s="8" t="s">
        <v>125</v>
      </c>
    </row>
    <row r="37" spans="1:5" ht="13.5" thickBot="1">
      <c r="A37" s="425">
        <v>19</v>
      </c>
      <c r="B37" s="9" t="s">
        <v>126</v>
      </c>
      <c r="C37" s="375">
        <f>449*0.66*C35*(2*32.2*C18)^0.5</f>
        <v>0</v>
      </c>
      <c r="D37" s="10"/>
      <c r="E37" s="11" t="s">
        <v>817</v>
      </c>
    </row>
    <row r="38" spans="2:5" ht="14.25" hidden="1">
      <c r="B38" s="35" t="s">
        <v>718</v>
      </c>
      <c r="C38" s="197">
        <f>C9/(0.75/12)/0.9</f>
        <v>0</v>
      </c>
      <c r="D38" s="34"/>
      <c r="E38" s="35" t="s">
        <v>375</v>
      </c>
    </row>
    <row r="39" spans="2:5" ht="12.75" hidden="1">
      <c r="B39" s="35" t="s">
        <v>772</v>
      </c>
      <c r="C39" s="198" t="e">
        <f>C26*C27/C38</f>
        <v>#DIV/0!</v>
      </c>
      <c r="D39" s="34"/>
      <c r="E39" s="34"/>
    </row>
    <row r="40" spans="2:3" ht="12.75" hidden="1">
      <c r="B40" s="35" t="s">
        <v>131</v>
      </c>
      <c r="C40" s="179" t="e">
        <f>((C26*C27)+C11/1.5)/C38</f>
        <v>#DIV/0!</v>
      </c>
    </row>
    <row r="41" spans="2:5" ht="12.75">
      <c r="B41" s="20"/>
      <c r="C41" s="41"/>
      <c r="D41" s="2"/>
      <c r="E41" s="2"/>
    </row>
    <row r="42" ht="12.75">
      <c r="A42" s="1" t="s">
        <v>663</v>
      </c>
    </row>
    <row r="43" ht="12.75">
      <c r="A43" s="44" t="s">
        <v>107</v>
      </c>
    </row>
    <row r="45" ht="12.75">
      <c r="A45" s="55" t="s">
        <v>584</v>
      </c>
    </row>
    <row r="46" spans="1:6" ht="12.75">
      <c r="A46" s="483">
        <v>1</v>
      </c>
      <c r="B46" s="718" t="s">
        <v>302</v>
      </c>
      <c r="C46" s="718"/>
      <c r="D46" s="718"/>
      <c r="E46" s="718"/>
      <c r="F46" s="66"/>
    </row>
    <row r="47" spans="1:6" ht="12.75">
      <c r="A47" s="483">
        <v>2</v>
      </c>
      <c r="B47" s="718" t="s">
        <v>401</v>
      </c>
      <c r="C47" s="718"/>
      <c r="D47" s="718"/>
      <c r="E47" s="718"/>
      <c r="F47" s="66"/>
    </row>
    <row r="48" spans="1:6" ht="12.75">
      <c r="A48" s="483">
        <v>3</v>
      </c>
      <c r="B48" s="718" t="s">
        <v>74</v>
      </c>
      <c r="C48" s="718"/>
      <c r="D48" s="718"/>
      <c r="E48" s="718"/>
      <c r="F48" s="66"/>
    </row>
    <row r="49" spans="1:6" ht="12.75">
      <c r="A49" s="483">
        <v>4</v>
      </c>
      <c r="B49" s="718" t="s">
        <v>82</v>
      </c>
      <c r="C49" s="718"/>
      <c r="D49" s="718"/>
      <c r="E49" s="718"/>
      <c r="F49" s="66"/>
    </row>
    <row r="50" spans="1:6" ht="12.75">
      <c r="A50" s="483">
        <v>5</v>
      </c>
      <c r="B50" s="718" t="s">
        <v>83</v>
      </c>
      <c r="C50" s="718"/>
      <c r="D50" s="718"/>
      <c r="E50" s="718"/>
      <c r="F50" s="66"/>
    </row>
    <row r="51" spans="1:6" ht="12.75">
      <c r="A51" s="483">
        <v>6</v>
      </c>
      <c r="B51" s="718" t="s">
        <v>478</v>
      </c>
      <c r="C51" s="718"/>
      <c r="D51" s="718"/>
      <c r="E51" s="718"/>
      <c r="F51" s="66"/>
    </row>
    <row r="52" spans="1:6" ht="27" customHeight="1">
      <c r="A52" s="483">
        <v>7</v>
      </c>
      <c r="B52" s="718" t="s">
        <v>777</v>
      </c>
      <c r="C52" s="718"/>
      <c r="D52" s="718"/>
      <c r="E52" s="718"/>
      <c r="F52" s="66"/>
    </row>
    <row r="53" spans="1:6" ht="39.75" customHeight="1">
      <c r="A53" s="483">
        <v>8</v>
      </c>
      <c r="B53" s="718" t="s">
        <v>479</v>
      </c>
      <c r="C53" s="718"/>
      <c r="D53" s="718"/>
      <c r="E53" s="718"/>
      <c r="F53" s="66"/>
    </row>
    <row r="54" spans="1:6" ht="15" customHeight="1">
      <c r="A54" s="483">
        <v>9</v>
      </c>
      <c r="B54" s="718" t="s">
        <v>716</v>
      </c>
      <c r="C54" s="718"/>
      <c r="D54" s="718"/>
      <c r="E54" s="718"/>
      <c r="F54" s="66"/>
    </row>
    <row r="55" spans="1:6" ht="12.75">
      <c r="A55" s="483">
        <v>10</v>
      </c>
      <c r="B55" s="718" t="s">
        <v>619</v>
      </c>
      <c r="C55" s="718"/>
      <c r="D55" s="718"/>
      <c r="E55" s="718"/>
      <c r="F55" s="66"/>
    </row>
    <row r="56" spans="1:6" ht="24.75" customHeight="1">
      <c r="A56" s="483">
        <v>11</v>
      </c>
      <c r="B56" s="718" t="s">
        <v>69</v>
      </c>
      <c r="C56" s="718"/>
      <c r="D56" s="718"/>
      <c r="E56" s="718"/>
      <c r="F56" s="66"/>
    </row>
    <row r="57" spans="1:6" ht="12.75">
      <c r="A57" s="483">
        <v>12</v>
      </c>
      <c r="B57" s="735" t="s">
        <v>778</v>
      </c>
      <c r="C57" s="735"/>
      <c r="D57" s="735"/>
      <c r="E57" s="735"/>
      <c r="F57" s="66"/>
    </row>
    <row r="58" spans="1:6" ht="12.75" customHeight="1">
      <c r="A58" s="483">
        <v>13</v>
      </c>
      <c r="B58" s="718" t="s">
        <v>476</v>
      </c>
      <c r="C58" s="718"/>
      <c r="D58" s="718"/>
      <c r="E58" s="718"/>
      <c r="F58" s="66"/>
    </row>
    <row r="59" spans="1:6" ht="12.75">
      <c r="A59" s="483">
        <v>14</v>
      </c>
      <c r="B59" s="718" t="s">
        <v>521</v>
      </c>
      <c r="C59" s="718"/>
      <c r="D59" s="718"/>
      <c r="E59" s="718"/>
      <c r="F59" s="66"/>
    </row>
    <row r="60" spans="1:6" ht="24.75" customHeight="1">
      <c r="A60" s="483">
        <v>15</v>
      </c>
      <c r="B60" s="718" t="s">
        <v>522</v>
      </c>
      <c r="C60" s="718"/>
      <c r="D60" s="718"/>
      <c r="E60" s="718"/>
      <c r="F60" s="149"/>
    </row>
    <row r="61" spans="1:6" ht="24.75" customHeight="1">
      <c r="A61" s="483">
        <v>16</v>
      </c>
      <c r="B61" s="718" t="s">
        <v>111</v>
      </c>
      <c r="C61" s="718"/>
      <c r="D61" s="718"/>
      <c r="E61" s="718"/>
      <c r="F61" s="66"/>
    </row>
    <row r="62" spans="1:6" ht="12.75">
      <c r="A62" s="483">
        <v>17</v>
      </c>
      <c r="B62" s="718" t="s">
        <v>75</v>
      </c>
      <c r="C62" s="718"/>
      <c r="D62" s="718"/>
      <c r="E62" s="718"/>
      <c r="F62" s="66"/>
    </row>
    <row r="63" spans="1:6" ht="24.75" customHeight="1">
      <c r="A63" s="483">
        <v>18</v>
      </c>
      <c r="B63" s="718" t="s">
        <v>710</v>
      </c>
      <c r="C63" s="718"/>
      <c r="D63" s="718"/>
      <c r="E63" s="718"/>
      <c r="F63" s="66"/>
    </row>
    <row r="64" spans="1:6" ht="12.75">
      <c r="A64" s="483">
        <v>19</v>
      </c>
      <c r="B64" s="718" t="s">
        <v>623</v>
      </c>
      <c r="C64" s="718"/>
      <c r="D64" s="718"/>
      <c r="E64" s="718"/>
      <c r="F64" s="66"/>
    </row>
    <row r="65" spans="1:5" ht="12.75">
      <c r="A65" s="149"/>
      <c r="B65" s="149"/>
      <c r="C65" s="149"/>
      <c r="D65" s="149"/>
      <c r="E65" s="149"/>
    </row>
    <row r="66" spans="1:5" ht="12.75">
      <c r="A66" s="419" t="s">
        <v>664</v>
      </c>
      <c r="B66" s="149"/>
      <c r="C66" s="149"/>
      <c r="D66" s="149"/>
      <c r="E66" s="149"/>
    </row>
    <row r="67" spans="1:6" ht="24.75" customHeight="1">
      <c r="A67" s="149"/>
      <c r="B67" s="386" t="s">
        <v>48</v>
      </c>
      <c r="C67" s="718" t="s">
        <v>493</v>
      </c>
      <c r="D67" s="718"/>
      <c r="E67" s="718"/>
      <c r="F67" s="66"/>
    </row>
    <row r="68" spans="1:6" ht="12.75" customHeight="1">
      <c r="A68" s="149"/>
      <c r="B68" s="386" t="s">
        <v>321</v>
      </c>
      <c r="C68" s="718" t="s">
        <v>711</v>
      </c>
      <c r="D68" s="718"/>
      <c r="E68" s="718"/>
      <c r="F68" s="66"/>
    </row>
    <row r="69" spans="1:6" ht="12.75" customHeight="1">
      <c r="A69" s="149"/>
      <c r="B69" s="386" t="s">
        <v>87</v>
      </c>
      <c r="C69" s="718" t="s">
        <v>625</v>
      </c>
      <c r="D69" s="718"/>
      <c r="E69" s="718"/>
      <c r="F69" s="66"/>
    </row>
    <row r="70" spans="1:6" ht="12.75" customHeight="1">
      <c r="A70" s="149"/>
      <c r="B70" s="386" t="s">
        <v>153</v>
      </c>
      <c r="C70" s="718" t="s">
        <v>314</v>
      </c>
      <c r="D70" s="718"/>
      <c r="E70" s="718"/>
      <c r="F70" s="66"/>
    </row>
    <row r="71" spans="1:6" ht="12.75">
      <c r="A71" s="149"/>
      <c r="B71" s="386" t="s">
        <v>713</v>
      </c>
      <c r="C71" s="718" t="s">
        <v>707</v>
      </c>
      <c r="D71" s="718"/>
      <c r="E71" s="718"/>
      <c r="F71" s="66"/>
    </row>
    <row r="72" spans="1:6" ht="12.75" customHeight="1">
      <c r="A72" s="149"/>
      <c r="B72" s="386" t="s">
        <v>712</v>
      </c>
      <c r="C72" s="718" t="s">
        <v>622</v>
      </c>
      <c r="D72" s="718"/>
      <c r="E72" s="718"/>
      <c r="F72" s="66"/>
    </row>
    <row r="73" spans="1:6" ht="12.75">
      <c r="A73" s="149"/>
      <c r="B73" s="386" t="s">
        <v>815</v>
      </c>
      <c r="C73" s="491" t="s">
        <v>621</v>
      </c>
      <c r="D73" s="66"/>
      <c r="E73" s="66"/>
      <c r="F73" s="66"/>
    </row>
    <row r="74" spans="1:6" ht="12" customHeight="1">
      <c r="A74" s="149"/>
      <c r="B74" s="386" t="s">
        <v>232</v>
      </c>
      <c r="C74" s="491" t="s">
        <v>400</v>
      </c>
      <c r="D74" s="386"/>
      <c r="E74" s="491"/>
      <c r="F74" s="42"/>
    </row>
    <row r="75" spans="1:6" ht="12" customHeight="1">
      <c r="A75" s="149"/>
      <c r="B75" s="386" t="s">
        <v>510</v>
      </c>
      <c r="C75" s="491" t="s">
        <v>124</v>
      </c>
      <c r="D75" s="386"/>
      <c r="E75" s="491"/>
      <c r="F75" s="42"/>
    </row>
    <row r="76" spans="1:6" ht="12.75" customHeight="1">
      <c r="A76" s="149"/>
      <c r="B76" s="386" t="s">
        <v>113</v>
      </c>
      <c r="C76" s="718" t="s">
        <v>399</v>
      </c>
      <c r="D76" s="718"/>
      <c r="E76" s="718"/>
      <c r="F76" s="66"/>
    </row>
  </sheetData>
  <sheetProtection selectLockedCells="1"/>
  <mergeCells count="26">
    <mergeCell ref="B53:E53"/>
    <mergeCell ref="B55:E55"/>
    <mergeCell ref="B54:E54"/>
    <mergeCell ref="C72:E72"/>
    <mergeCell ref="B60:E60"/>
    <mergeCell ref="B63:E63"/>
    <mergeCell ref="B64:E64"/>
    <mergeCell ref="B59:E59"/>
    <mergeCell ref="B56:E56"/>
    <mergeCell ref="B57:E57"/>
    <mergeCell ref="C76:E76"/>
    <mergeCell ref="C67:E67"/>
    <mergeCell ref="C68:E68"/>
    <mergeCell ref="C69:E69"/>
    <mergeCell ref="C70:E70"/>
    <mergeCell ref="C71:E71"/>
    <mergeCell ref="B58:E58"/>
    <mergeCell ref="B61:E61"/>
    <mergeCell ref="B62:E62"/>
    <mergeCell ref="B46:E46"/>
    <mergeCell ref="B47:E47"/>
    <mergeCell ref="B48:E48"/>
    <mergeCell ref="B49:E49"/>
    <mergeCell ref="B50:E50"/>
    <mergeCell ref="B52:E52"/>
    <mergeCell ref="B51:E51"/>
  </mergeCells>
  <dataValidations count="1">
    <dataValidation type="list" allowBlank="1" showInputMessage="1" showErrorMessage="1" sqref="C12">
      <formula1>"Wet Pond, Wetland"</formula1>
    </dataValidation>
  </dataValidations>
  <printOptions/>
  <pageMargins left="0.5" right="0.5" top="0.35" bottom="0.4" header="0.35" footer="0.4"/>
  <pageSetup fitToHeight="0" fitToWidth="1" orientation="landscape" scale="91" r:id="rId3"/>
  <headerFooter alignWithMargins="0">
    <oddFooter>&amp;L&amp;8November 2011 Version</oddFooter>
  </headerFooter>
  <rowBreaks count="1" manualBreakCount="1">
    <brk id="41" max="4" man="1"/>
  </rowBreaks>
  <drawing r:id="rId2"/>
  <legacyDrawing r:id="rId1"/>
</worksheet>
</file>

<file path=xl/worksheets/sheet8.xml><?xml version="1.0" encoding="utf-8"?>
<worksheet xmlns="http://schemas.openxmlformats.org/spreadsheetml/2006/main" xmlns:r="http://schemas.openxmlformats.org/officeDocument/2006/relationships">
  <sheetPr codeName="Sheet11">
    <tabColor indexed="50"/>
  </sheetPr>
  <dimension ref="A1:M103"/>
  <sheetViews>
    <sheetView zoomScaleSheetLayoutView="100" zoomScalePageLayoutView="0" workbookViewId="0" topLeftCell="A1">
      <selection activeCell="C10" sqref="C10"/>
    </sheetView>
  </sheetViews>
  <sheetFormatPr defaultColWidth="19.421875" defaultRowHeight="12.75"/>
  <cols>
    <col min="1" max="1" width="9.7109375" style="0" customWidth="1"/>
    <col min="2" max="2" width="39.28125" style="0" customWidth="1"/>
    <col min="3" max="3" width="14.421875" style="0" customWidth="1"/>
    <col min="4" max="4" width="2.421875" style="0" customWidth="1"/>
    <col min="5" max="5" width="71.8515625" style="0" customWidth="1"/>
    <col min="6" max="6" width="6.7109375" style="3" customWidth="1"/>
    <col min="7" max="16384" width="8.8515625" style="0" customWidth="1"/>
  </cols>
  <sheetData>
    <row r="1" ht="15.75">
      <c r="A1" s="38" t="s">
        <v>282</v>
      </c>
    </row>
    <row r="2" ht="12.75">
      <c r="A2" s="44" t="s">
        <v>41</v>
      </c>
    </row>
    <row r="3" spans="1:6" s="44" customFormat="1" ht="12.75">
      <c r="A3" s="1"/>
      <c r="C3"/>
      <c r="D3"/>
      <c r="E3"/>
      <c r="F3" s="307"/>
    </row>
    <row r="4" ht="12.75">
      <c r="A4" s="1"/>
    </row>
    <row r="5" ht="12.75"/>
    <row r="6" ht="12.75"/>
    <row r="7" ht="12.75"/>
    <row r="8" spans="1:6" ht="12.75">
      <c r="A8" s="1" t="s">
        <v>666</v>
      </c>
      <c r="F8"/>
    </row>
    <row r="9" spans="1:6" ht="13.5" thickBot="1">
      <c r="A9" s="1" t="s">
        <v>903</v>
      </c>
      <c r="B9" s="1"/>
      <c r="F9"/>
    </row>
    <row r="10" spans="1:6" ht="12.75">
      <c r="A10" s="425">
        <v>1</v>
      </c>
      <c r="B10" s="308" t="s">
        <v>78</v>
      </c>
      <c r="C10" s="649"/>
      <c r="D10" s="309"/>
      <c r="E10" s="310" t="s">
        <v>213</v>
      </c>
      <c r="F10"/>
    </row>
    <row r="11" spans="1:6" ht="12.75">
      <c r="A11" s="425">
        <v>2</v>
      </c>
      <c r="B11" s="311" t="s">
        <v>905</v>
      </c>
      <c r="C11" s="650">
        <v>0.1</v>
      </c>
      <c r="D11" s="312"/>
      <c r="E11" s="313" t="s">
        <v>13</v>
      </c>
      <c r="F11"/>
    </row>
    <row r="12" spans="1:13" ht="12.75">
      <c r="A12" s="425">
        <v>3</v>
      </c>
      <c r="B12" s="311" t="s">
        <v>16</v>
      </c>
      <c r="C12" s="315">
        <f>1-C11</f>
        <v>0.9</v>
      </c>
      <c r="D12" s="312"/>
      <c r="E12" s="316" t="s">
        <v>17</v>
      </c>
      <c r="F12"/>
      <c r="L12" s="7"/>
      <c r="M12" s="7"/>
    </row>
    <row r="13" spans="1:13" ht="12.75">
      <c r="A13" s="425">
        <v>4</v>
      </c>
      <c r="B13" s="311" t="s">
        <v>19</v>
      </c>
      <c r="C13" s="317">
        <f>C11*C10</f>
        <v>0</v>
      </c>
      <c r="D13" s="312"/>
      <c r="E13" s="313" t="s">
        <v>213</v>
      </c>
      <c r="F13"/>
      <c r="L13" s="7"/>
      <c r="M13" s="7"/>
    </row>
    <row r="14" spans="1:13" ht="13.5" thickBot="1">
      <c r="A14" s="425"/>
      <c r="B14" s="319" t="s">
        <v>22</v>
      </c>
      <c r="C14" s="320">
        <f>C12*C10</f>
        <v>0</v>
      </c>
      <c r="D14" s="321"/>
      <c r="E14" s="322" t="s">
        <v>213</v>
      </c>
      <c r="F14"/>
      <c r="L14" s="7"/>
      <c r="M14" s="7"/>
    </row>
    <row r="15" spans="1:5" s="2" customFormat="1" ht="13.5" thickBot="1">
      <c r="A15" s="253"/>
      <c r="B15" s="314"/>
      <c r="C15" s="323"/>
      <c r="D15" s="314"/>
      <c r="E15" s="314"/>
    </row>
    <row r="16" spans="1:13" ht="12.75">
      <c r="A16" s="485">
        <v>5</v>
      </c>
      <c r="B16" s="308" t="s">
        <v>844</v>
      </c>
      <c r="C16" s="649"/>
      <c r="D16" s="309"/>
      <c r="E16" s="310" t="s">
        <v>845</v>
      </c>
      <c r="F16"/>
      <c r="L16" s="7"/>
      <c r="M16" s="7"/>
    </row>
    <row r="17" spans="1:13" ht="12.75">
      <c r="A17" s="485">
        <v>6</v>
      </c>
      <c r="B17" s="318" t="s">
        <v>20</v>
      </c>
      <c r="C17" s="651">
        <v>2.5</v>
      </c>
      <c r="D17" s="312"/>
      <c r="E17" s="316" t="s">
        <v>21</v>
      </c>
      <c r="F17"/>
      <c r="L17" s="7"/>
      <c r="M17" s="7"/>
    </row>
    <row r="18" spans="1:13" ht="12.75">
      <c r="A18" s="485">
        <v>7</v>
      </c>
      <c r="B18" s="318" t="s">
        <v>12</v>
      </c>
      <c r="C18" s="651">
        <v>0.5</v>
      </c>
      <c r="D18" s="312"/>
      <c r="E18" s="316" t="s">
        <v>93</v>
      </c>
      <c r="F18"/>
      <c r="L18" s="7"/>
      <c r="M18" s="7"/>
    </row>
    <row r="19" spans="1:13" ht="12.75">
      <c r="A19" s="485">
        <v>8</v>
      </c>
      <c r="B19" s="318" t="s">
        <v>842</v>
      </c>
      <c r="C19" s="317">
        <f>C17+C18</f>
        <v>3</v>
      </c>
      <c r="D19" s="312"/>
      <c r="E19" s="316" t="s">
        <v>843</v>
      </c>
      <c r="F19"/>
      <c r="L19" s="7"/>
      <c r="M19" s="7"/>
    </row>
    <row r="20" spans="1:13" ht="12.75">
      <c r="A20" s="485">
        <v>9</v>
      </c>
      <c r="B20" s="318" t="s">
        <v>849</v>
      </c>
      <c r="C20" s="652"/>
      <c r="D20" s="312"/>
      <c r="E20" s="316" t="s">
        <v>611</v>
      </c>
      <c r="F20"/>
      <c r="L20" s="7"/>
      <c r="M20" s="7"/>
    </row>
    <row r="21" spans="1:13" ht="13.5" thickBot="1">
      <c r="A21" s="485">
        <v>10</v>
      </c>
      <c r="B21" s="319" t="s">
        <v>612</v>
      </c>
      <c r="C21" s="320">
        <f>C20+C18</f>
        <v>0.5</v>
      </c>
      <c r="D21" s="321"/>
      <c r="E21" s="322" t="s">
        <v>613</v>
      </c>
      <c r="F21"/>
      <c r="L21" s="2"/>
      <c r="M21" s="7"/>
    </row>
    <row r="22" spans="1:12" s="2" customFormat="1" ht="13.5" thickBot="1">
      <c r="A22" s="253"/>
      <c r="B22" s="314"/>
      <c r="C22" s="323"/>
      <c r="D22" s="314"/>
      <c r="E22" s="314"/>
      <c r="L22"/>
    </row>
    <row r="23" spans="1:6" ht="12.75">
      <c r="A23" s="485">
        <v>11</v>
      </c>
      <c r="B23" s="326" t="s">
        <v>95</v>
      </c>
      <c r="C23" s="653">
        <v>0.35</v>
      </c>
      <c r="D23" s="328"/>
      <c r="E23" s="329" t="s">
        <v>96</v>
      </c>
      <c r="F23"/>
    </row>
    <row r="24" spans="1:7" ht="12.75">
      <c r="A24" s="485">
        <v>12</v>
      </c>
      <c r="B24" s="331" t="s">
        <v>459</v>
      </c>
      <c r="C24" s="324" t="e">
        <f>C13/C16</f>
        <v>#DIV/0!</v>
      </c>
      <c r="D24" s="312"/>
      <c r="E24" s="316" t="s">
        <v>208</v>
      </c>
      <c r="F24"/>
      <c r="G24" s="332"/>
    </row>
    <row r="25" spans="1:7" ht="12.75">
      <c r="A25" s="425"/>
      <c r="B25" s="331" t="s">
        <v>460</v>
      </c>
      <c r="C25" s="324">
        <f>C14/(C18*C23+C20)</f>
        <v>0</v>
      </c>
      <c r="D25" s="312"/>
      <c r="E25" s="316" t="s">
        <v>208</v>
      </c>
      <c r="F25"/>
      <c r="G25" s="332"/>
    </row>
    <row r="26" spans="1:7" ht="12.75">
      <c r="A26" s="425">
        <v>13</v>
      </c>
      <c r="B26" s="318" t="s">
        <v>633</v>
      </c>
      <c r="C26" s="654"/>
      <c r="D26" s="312"/>
      <c r="E26" s="313" t="s">
        <v>635</v>
      </c>
      <c r="F26"/>
      <c r="G26" s="332"/>
    </row>
    <row r="27" spans="1:7" ht="12.75">
      <c r="A27" s="425">
        <v>14</v>
      </c>
      <c r="B27" s="318" t="s">
        <v>634</v>
      </c>
      <c r="C27" s="324" t="e">
        <f>C25/C26</f>
        <v>#DIV/0!</v>
      </c>
      <c r="D27" s="312"/>
      <c r="E27" s="313" t="s">
        <v>635</v>
      </c>
      <c r="F27"/>
      <c r="G27" s="332"/>
    </row>
    <row r="28" spans="1:12" ht="13.5" thickBot="1">
      <c r="A28" s="425">
        <v>15</v>
      </c>
      <c r="B28" s="333" t="s">
        <v>397</v>
      </c>
      <c r="C28" s="334" t="e">
        <f>C27/C26</f>
        <v>#DIV/0!</v>
      </c>
      <c r="D28" s="321"/>
      <c r="E28" s="301"/>
      <c r="F28"/>
      <c r="G28" s="4"/>
      <c r="L28" s="332"/>
    </row>
    <row r="29" spans="1:5" s="332" customFormat="1" ht="13.5" thickBot="1">
      <c r="A29" s="466"/>
      <c r="B29" s="307"/>
      <c r="C29" s="335"/>
      <c r="D29" s="307"/>
      <c r="E29" s="307"/>
    </row>
    <row r="30" spans="1:5" s="332" customFormat="1" ht="12.75">
      <c r="A30" s="425">
        <v>16</v>
      </c>
      <c r="B30" s="326" t="s">
        <v>14</v>
      </c>
      <c r="C30" s="653">
        <v>2000</v>
      </c>
      <c r="D30" s="328"/>
      <c r="E30" s="329" t="s">
        <v>15</v>
      </c>
    </row>
    <row r="31" spans="1:5" s="332" customFormat="1" ht="12.75">
      <c r="A31" s="425">
        <v>17</v>
      </c>
      <c r="B31" s="311" t="s">
        <v>23</v>
      </c>
      <c r="C31" s="336" t="e">
        <f>(C19*C26)*(C30/86400)*(C21/2)/C27</f>
        <v>#DIV/0!</v>
      </c>
      <c r="D31" s="314"/>
      <c r="E31" s="313" t="s">
        <v>561</v>
      </c>
    </row>
    <row r="32" spans="1:11" s="332" customFormat="1" ht="13.5" thickBot="1">
      <c r="A32" s="425">
        <v>18</v>
      </c>
      <c r="B32" s="186" t="s">
        <v>525</v>
      </c>
      <c r="C32" s="325" t="e">
        <f>C10/C31/3600</f>
        <v>#DIV/0!</v>
      </c>
      <c r="D32" s="330"/>
      <c r="E32" s="301" t="s">
        <v>24</v>
      </c>
      <c r="G32"/>
      <c r="H32" s="337"/>
      <c r="I32" s="337"/>
      <c r="J32" s="337"/>
      <c r="K32" s="337"/>
    </row>
    <row r="33" spans="2:11" s="332" customFormat="1" ht="12.75" hidden="1">
      <c r="B33" s="314" t="s">
        <v>25</v>
      </c>
      <c r="C33" s="338">
        <f>C10/0.9/0.75*12</f>
        <v>0</v>
      </c>
      <c r="D33" s="314"/>
      <c r="E33" s="314" t="s">
        <v>553</v>
      </c>
      <c r="G33"/>
      <c r="H33" s="314" t="s">
        <v>839</v>
      </c>
      <c r="I33" s="395">
        <f>C39/0.9/0.2</f>
        <v>0</v>
      </c>
      <c r="J33" s="44"/>
      <c r="K33" s="44" t="s">
        <v>227</v>
      </c>
    </row>
    <row r="34" spans="2:12" s="332" customFormat="1" ht="12.75" hidden="1">
      <c r="B34" s="314" t="s">
        <v>840</v>
      </c>
      <c r="C34" s="339" t="e">
        <f>(C24+C25)/C33</f>
        <v>#DIV/0!</v>
      </c>
      <c r="D34" s="314"/>
      <c r="E34" s="314"/>
      <c r="G34"/>
      <c r="H34" s="314" t="s">
        <v>839</v>
      </c>
      <c r="I34" s="44">
        <f>I33*43560</f>
        <v>0</v>
      </c>
      <c r="J34" s="44"/>
      <c r="K34" s="44" t="s">
        <v>553</v>
      </c>
      <c r="L34"/>
    </row>
    <row r="35" spans="3:11" ht="12.75" hidden="1">
      <c r="C35" s="44"/>
      <c r="D35" s="44"/>
      <c r="E35" s="44"/>
      <c r="H35" s="314" t="s">
        <v>841</v>
      </c>
      <c r="I35" s="340" t="e">
        <f>C48/I34</f>
        <v>#DIV/0!</v>
      </c>
      <c r="J35" s="44"/>
      <c r="K35" s="44"/>
    </row>
    <row r="36" spans="3:11" ht="12.75" hidden="1">
      <c r="C36" s="44"/>
      <c r="D36" s="44"/>
      <c r="E36" s="44"/>
      <c r="H36" s="314" t="s">
        <v>397</v>
      </c>
      <c r="I36" s="394" t="e">
        <f>C41/C47</f>
        <v>#DIV/0!</v>
      </c>
      <c r="J36" s="314"/>
      <c r="K36" s="314"/>
    </row>
    <row r="37" spans="3:11" ht="12.75">
      <c r="C37" s="44"/>
      <c r="D37" s="44"/>
      <c r="E37" s="44"/>
      <c r="H37" s="314"/>
      <c r="I37" s="394"/>
      <c r="J37" s="314"/>
      <c r="K37" s="314"/>
    </row>
    <row r="38" spans="1:11" ht="13.5" thickBot="1">
      <c r="A38" s="1" t="s">
        <v>123</v>
      </c>
      <c r="H38" s="314"/>
      <c r="I38" s="394"/>
      <c r="J38" s="314"/>
      <c r="K38" s="314"/>
    </row>
    <row r="39" spans="1:11" ht="12.75">
      <c r="A39" s="425">
        <v>19</v>
      </c>
      <c r="B39" s="308" t="s">
        <v>76</v>
      </c>
      <c r="C39" s="649"/>
      <c r="D39" s="309"/>
      <c r="E39" s="310" t="s">
        <v>904</v>
      </c>
      <c r="H39" s="314"/>
      <c r="I39" s="394"/>
      <c r="J39" s="314"/>
      <c r="K39" s="314"/>
    </row>
    <row r="40" spans="1:11" ht="12.75">
      <c r="A40" s="425">
        <v>20</v>
      </c>
      <c r="B40" s="311" t="s">
        <v>14</v>
      </c>
      <c r="C40" s="651">
        <v>2000</v>
      </c>
      <c r="D40" s="314"/>
      <c r="E40" s="313" t="s">
        <v>15</v>
      </c>
      <c r="H40" s="314"/>
      <c r="I40" s="394"/>
      <c r="J40" s="314"/>
      <c r="K40" s="314"/>
    </row>
    <row r="41" spans="1:11" ht="12.75">
      <c r="A41" s="425">
        <v>21</v>
      </c>
      <c r="B41" s="311" t="s">
        <v>18</v>
      </c>
      <c r="C41" s="652"/>
      <c r="D41" s="312"/>
      <c r="E41" s="316" t="s">
        <v>918</v>
      </c>
      <c r="H41" s="314"/>
      <c r="I41" s="394"/>
      <c r="J41" s="314"/>
      <c r="K41" s="314"/>
    </row>
    <row r="42" spans="1:11" ht="12.75">
      <c r="A42" s="425">
        <v>22</v>
      </c>
      <c r="B42" s="318" t="s">
        <v>20</v>
      </c>
      <c r="C42" s="651">
        <v>2.5</v>
      </c>
      <c r="D42" s="312"/>
      <c r="E42" s="316" t="s">
        <v>21</v>
      </c>
      <c r="H42" s="314"/>
      <c r="I42" s="394"/>
      <c r="J42" s="314"/>
      <c r="K42" s="314"/>
    </row>
    <row r="43" spans="1:11" ht="12.75">
      <c r="A43" s="425">
        <v>23</v>
      </c>
      <c r="B43" s="318" t="s">
        <v>12</v>
      </c>
      <c r="C43" s="651">
        <v>0.5</v>
      </c>
      <c r="D43" s="312"/>
      <c r="E43" s="316" t="s">
        <v>93</v>
      </c>
      <c r="H43" s="314"/>
      <c r="I43" s="394"/>
      <c r="J43" s="314"/>
      <c r="K43" s="314"/>
    </row>
    <row r="44" spans="1:11" ht="13.5" thickBot="1">
      <c r="A44" s="425">
        <v>24</v>
      </c>
      <c r="B44" s="319" t="s">
        <v>842</v>
      </c>
      <c r="C44" s="320">
        <f>C43+C42</f>
        <v>3</v>
      </c>
      <c r="D44" s="321"/>
      <c r="E44" s="322" t="s">
        <v>843</v>
      </c>
      <c r="H44" s="314"/>
      <c r="I44" s="394"/>
      <c r="J44" s="314"/>
      <c r="K44" s="314"/>
    </row>
    <row r="45" spans="1:11" ht="13.5" thickBot="1">
      <c r="A45" s="466"/>
      <c r="H45" s="314"/>
      <c r="I45" s="394"/>
      <c r="J45" s="314"/>
      <c r="K45" s="314"/>
    </row>
    <row r="46" spans="1:11" ht="12.75">
      <c r="A46" s="425">
        <v>25</v>
      </c>
      <c r="B46" s="326" t="s">
        <v>846</v>
      </c>
      <c r="C46" s="392" t="e">
        <f>(C39*86400)/(C40*C43/C41)</f>
        <v>#DIV/0!</v>
      </c>
      <c r="D46" s="309"/>
      <c r="E46" s="310" t="s">
        <v>208</v>
      </c>
      <c r="H46" s="314"/>
      <c r="I46" s="394"/>
      <c r="J46" s="314"/>
      <c r="K46" s="314"/>
    </row>
    <row r="47" spans="1:11" ht="12.75">
      <c r="A47" s="425"/>
      <c r="B47" s="311" t="s">
        <v>847</v>
      </c>
      <c r="C47" s="393" t="e">
        <f>C46/C44</f>
        <v>#DIV/0!</v>
      </c>
      <c r="D47" s="312"/>
      <c r="E47" s="316" t="s">
        <v>635</v>
      </c>
      <c r="H47" s="314"/>
      <c r="I47" s="394"/>
      <c r="J47" s="314"/>
      <c r="K47" s="314"/>
    </row>
    <row r="48" spans="1:11" ht="13.5" thickBot="1">
      <c r="A48" s="425">
        <v>26</v>
      </c>
      <c r="B48" s="186" t="s">
        <v>848</v>
      </c>
      <c r="C48" s="325" t="e">
        <f>C47*C41</f>
        <v>#DIV/0!</v>
      </c>
      <c r="D48" s="321"/>
      <c r="E48" s="322" t="s">
        <v>208</v>
      </c>
      <c r="H48" s="314"/>
      <c r="I48" s="394"/>
      <c r="J48" s="314"/>
      <c r="K48" s="314"/>
    </row>
    <row r="49" spans="1:11" ht="13.5" thickBot="1">
      <c r="A49" s="466"/>
      <c r="H49" s="314"/>
      <c r="I49" s="394"/>
      <c r="J49" s="314"/>
      <c r="K49" s="314"/>
    </row>
    <row r="50" spans="1:11" ht="12.75">
      <c r="A50" s="425">
        <v>27</v>
      </c>
      <c r="B50" s="326" t="s">
        <v>614</v>
      </c>
      <c r="C50" s="327" t="e">
        <f>(C46)*(C40/86400)*C43/C41/C46</f>
        <v>#DIV/0!</v>
      </c>
      <c r="D50" s="328"/>
      <c r="E50" s="329" t="s">
        <v>100</v>
      </c>
      <c r="H50" s="314"/>
      <c r="I50" s="394"/>
      <c r="J50" s="314"/>
      <c r="K50" s="314"/>
    </row>
    <row r="51" spans="1:11" ht="13.5" thickBot="1">
      <c r="A51" s="425">
        <v>28</v>
      </c>
      <c r="B51" s="186" t="s">
        <v>639</v>
      </c>
      <c r="C51" s="325" t="e">
        <f>C41/(C50)/3600</f>
        <v>#DIV/0!</v>
      </c>
      <c r="D51" s="330"/>
      <c r="E51" s="301" t="s">
        <v>94</v>
      </c>
      <c r="H51" s="314"/>
      <c r="I51" s="394"/>
      <c r="J51" s="314"/>
      <c r="K51" s="314"/>
    </row>
    <row r="52" spans="3:11" ht="12.75">
      <c r="C52" s="44"/>
      <c r="D52" s="44"/>
      <c r="E52" s="44"/>
      <c r="H52" s="314"/>
      <c r="I52" s="394"/>
      <c r="J52" s="314"/>
      <c r="K52" s="314"/>
    </row>
    <row r="53" spans="1:6" ht="12.75">
      <c r="A53" s="1" t="s">
        <v>663</v>
      </c>
      <c r="F53"/>
    </row>
    <row r="54" spans="1:6" ht="25.5" customHeight="1">
      <c r="A54" s="716" t="s">
        <v>121</v>
      </c>
      <c r="B54" s="706"/>
      <c r="C54" s="706"/>
      <c r="D54" s="706"/>
      <c r="E54" s="706"/>
      <c r="F54" s="382"/>
    </row>
    <row r="55" spans="1:6" ht="24.75" customHeight="1">
      <c r="A55" s="731" t="s">
        <v>122</v>
      </c>
      <c r="B55" s="706"/>
      <c r="C55" s="706"/>
      <c r="D55" s="706"/>
      <c r="E55" s="706"/>
      <c r="F55" s="44"/>
    </row>
    <row r="56" ht="12.75">
      <c r="F56"/>
    </row>
    <row r="57" spans="1:6" ht="12.75">
      <c r="A57" s="55" t="s">
        <v>584</v>
      </c>
      <c r="F57"/>
    </row>
    <row r="58" spans="1:6" ht="12.75">
      <c r="A58" s="1" t="s">
        <v>28</v>
      </c>
      <c r="F58"/>
    </row>
    <row r="59" spans="1:6" ht="25.5" customHeight="1">
      <c r="A59" s="483">
        <v>1</v>
      </c>
      <c r="B59" s="736" t="s">
        <v>303</v>
      </c>
      <c r="C59" s="718"/>
      <c r="D59" s="718"/>
      <c r="E59" s="718"/>
      <c r="F59"/>
    </row>
    <row r="60" spans="1:6" ht="12.75">
      <c r="A60" s="483">
        <v>2</v>
      </c>
      <c r="B60" s="736" t="s">
        <v>29</v>
      </c>
      <c r="C60" s="718"/>
      <c r="D60" s="718"/>
      <c r="E60" s="718"/>
      <c r="F60" s="175"/>
    </row>
    <row r="61" spans="1:6" ht="12.75">
      <c r="A61" s="483">
        <v>3</v>
      </c>
      <c r="B61" s="736" t="s">
        <v>30</v>
      </c>
      <c r="C61" s="718"/>
      <c r="D61" s="718"/>
      <c r="E61" s="718"/>
      <c r="F61" s="175"/>
    </row>
    <row r="62" spans="1:6" ht="12.75">
      <c r="A62" s="483">
        <v>4</v>
      </c>
      <c r="B62" s="736" t="s">
        <v>835</v>
      </c>
      <c r="C62" s="718"/>
      <c r="D62" s="718"/>
      <c r="E62" s="718"/>
      <c r="F62" s="175"/>
    </row>
    <row r="63" spans="1:6" ht="12.75">
      <c r="A63" s="483">
        <v>5</v>
      </c>
      <c r="B63" s="736" t="s">
        <v>99</v>
      </c>
      <c r="C63" s="718"/>
      <c r="D63" s="718"/>
      <c r="E63" s="718"/>
      <c r="F63" s="175"/>
    </row>
    <row r="64" spans="1:6" ht="12.75">
      <c r="A64" s="483">
        <v>6</v>
      </c>
      <c r="B64" s="736" t="s">
        <v>836</v>
      </c>
      <c r="C64" s="718"/>
      <c r="D64" s="718"/>
      <c r="E64" s="718"/>
      <c r="F64" s="175"/>
    </row>
    <row r="65" spans="1:6" ht="24" customHeight="1">
      <c r="A65" s="483">
        <v>7</v>
      </c>
      <c r="B65" s="736" t="s">
        <v>670</v>
      </c>
      <c r="C65" s="718"/>
      <c r="D65" s="718"/>
      <c r="E65" s="718"/>
      <c r="F65" s="175"/>
    </row>
    <row r="66" spans="1:6" ht="12.75">
      <c r="A66" s="483">
        <v>8</v>
      </c>
      <c r="B66" s="736" t="s">
        <v>256</v>
      </c>
      <c r="C66" s="718"/>
      <c r="D66" s="718"/>
      <c r="E66" s="718"/>
      <c r="F66" s="175"/>
    </row>
    <row r="67" spans="1:6" ht="25.5" customHeight="1">
      <c r="A67" s="483">
        <v>9</v>
      </c>
      <c r="B67" s="736" t="s">
        <v>669</v>
      </c>
      <c r="C67" s="718"/>
      <c r="D67" s="718"/>
      <c r="E67" s="718"/>
      <c r="F67" s="175"/>
    </row>
    <row r="68" spans="1:6" ht="12.75">
      <c r="A68" s="483">
        <v>10</v>
      </c>
      <c r="B68" s="736" t="s">
        <v>862</v>
      </c>
      <c r="C68" s="718"/>
      <c r="D68" s="718"/>
      <c r="E68" s="718"/>
      <c r="F68" s="175"/>
    </row>
    <row r="69" spans="1:6" ht="12.75">
      <c r="A69" s="483">
        <v>11</v>
      </c>
      <c r="B69" s="736" t="s">
        <v>863</v>
      </c>
      <c r="C69" s="718"/>
      <c r="D69" s="718"/>
      <c r="E69" s="718"/>
      <c r="F69" s="175"/>
    </row>
    <row r="70" spans="1:6" ht="12.75">
      <c r="A70" s="483">
        <v>12</v>
      </c>
      <c r="B70" s="736" t="s">
        <v>49</v>
      </c>
      <c r="C70" s="718"/>
      <c r="D70" s="718"/>
      <c r="E70" s="718"/>
      <c r="F70" s="175"/>
    </row>
    <row r="71" spans="1:6" ht="12.75">
      <c r="A71" s="483">
        <v>13</v>
      </c>
      <c r="B71" s="736" t="s">
        <v>607</v>
      </c>
      <c r="C71" s="718"/>
      <c r="D71" s="718"/>
      <c r="E71" s="718"/>
      <c r="F71" s="175"/>
    </row>
    <row r="72" spans="1:6" ht="12.75">
      <c r="A72" s="483">
        <v>14</v>
      </c>
      <c r="B72" s="736" t="s">
        <v>608</v>
      </c>
      <c r="C72" s="718"/>
      <c r="D72" s="718"/>
      <c r="E72" s="718"/>
      <c r="F72" s="175"/>
    </row>
    <row r="73" spans="1:6" ht="12.75">
      <c r="A73" s="483">
        <v>15</v>
      </c>
      <c r="B73" s="736" t="s">
        <v>609</v>
      </c>
      <c r="C73" s="718"/>
      <c r="D73" s="718"/>
      <c r="E73" s="718"/>
      <c r="F73" s="175"/>
    </row>
    <row r="74" spans="1:6" ht="12.75">
      <c r="A74" s="483">
        <v>16</v>
      </c>
      <c r="B74" s="736" t="s">
        <v>610</v>
      </c>
      <c r="C74" s="718"/>
      <c r="D74" s="718"/>
      <c r="E74" s="718"/>
      <c r="F74" s="175"/>
    </row>
    <row r="75" spans="1:6" ht="12.75">
      <c r="A75" s="483">
        <v>17</v>
      </c>
      <c r="B75" s="736" t="s">
        <v>66</v>
      </c>
      <c r="C75" s="718"/>
      <c r="D75" s="718"/>
      <c r="E75" s="718"/>
      <c r="F75" s="175"/>
    </row>
    <row r="76" spans="1:6" ht="24.75" customHeight="1">
      <c r="A76" s="483">
        <v>18</v>
      </c>
      <c r="B76" s="736" t="s">
        <v>861</v>
      </c>
      <c r="C76" s="718"/>
      <c r="D76" s="718"/>
      <c r="E76" s="718"/>
      <c r="F76" s="175"/>
    </row>
    <row r="77" spans="1:6" ht="12.75">
      <c r="A77" s="149"/>
      <c r="B77" s="149"/>
      <c r="C77" s="149"/>
      <c r="D77" s="149"/>
      <c r="E77" s="149"/>
      <c r="F77"/>
    </row>
    <row r="78" spans="1:6" ht="12.75">
      <c r="A78" s="419" t="s">
        <v>620</v>
      </c>
      <c r="B78" s="149"/>
      <c r="C78" s="149"/>
      <c r="D78" s="149"/>
      <c r="E78" s="149"/>
      <c r="F78"/>
    </row>
    <row r="79" spans="1:6" ht="25.5" customHeight="1">
      <c r="A79" s="483">
        <v>19</v>
      </c>
      <c r="B79" s="736" t="s">
        <v>301</v>
      </c>
      <c r="C79" s="718"/>
      <c r="D79" s="718"/>
      <c r="E79" s="718"/>
      <c r="F79"/>
    </row>
    <row r="80" spans="1:6" ht="12.75">
      <c r="A80" s="483">
        <v>20</v>
      </c>
      <c r="B80" s="736" t="s">
        <v>610</v>
      </c>
      <c r="C80" s="718"/>
      <c r="D80" s="718"/>
      <c r="E80" s="718"/>
      <c r="F80"/>
    </row>
    <row r="81" spans="1:6" ht="12.75">
      <c r="A81" s="483">
        <v>21</v>
      </c>
      <c r="B81" s="736" t="s">
        <v>873</v>
      </c>
      <c r="C81" s="718"/>
      <c r="D81" s="718"/>
      <c r="E81" s="718"/>
      <c r="F81"/>
    </row>
    <row r="82" spans="1:6" ht="12.75">
      <c r="A82" s="483">
        <v>22</v>
      </c>
      <c r="B82" s="736" t="s">
        <v>836</v>
      </c>
      <c r="C82" s="718"/>
      <c r="D82" s="718"/>
      <c r="E82" s="718"/>
      <c r="F82"/>
    </row>
    <row r="83" spans="1:6" ht="27" customHeight="1">
      <c r="A83" s="483">
        <v>23</v>
      </c>
      <c r="B83" s="736" t="s">
        <v>670</v>
      </c>
      <c r="C83" s="718"/>
      <c r="D83" s="718"/>
      <c r="E83" s="718"/>
      <c r="F83"/>
    </row>
    <row r="84" spans="1:6" ht="12.75">
      <c r="A84" s="483">
        <v>24</v>
      </c>
      <c r="B84" s="736" t="s">
        <v>106</v>
      </c>
      <c r="C84" s="718"/>
      <c r="D84" s="718"/>
      <c r="E84" s="718"/>
      <c r="F84"/>
    </row>
    <row r="85" spans="1:6" ht="12.75">
      <c r="A85" s="483">
        <v>25</v>
      </c>
      <c r="B85" s="736" t="s">
        <v>874</v>
      </c>
      <c r="C85" s="718"/>
      <c r="D85" s="718"/>
      <c r="E85" s="718"/>
      <c r="F85"/>
    </row>
    <row r="86" spans="1:6" ht="12.75">
      <c r="A86" s="483">
        <v>26</v>
      </c>
      <c r="B86" s="736" t="s">
        <v>875</v>
      </c>
      <c r="C86" s="718"/>
      <c r="D86" s="718"/>
      <c r="E86" s="718"/>
      <c r="F86"/>
    </row>
    <row r="87" spans="1:6" ht="12.75">
      <c r="A87" s="483">
        <v>27</v>
      </c>
      <c r="B87" s="736" t="s">
        <v>876</v>
      </c>
      <c r="C87" s="718"/>
      <c r="D87" s="718"/>
      <c r="E87" s="718"/>
      <c r="F87"/>
    </row>
    <row r="88" spans="1:6" ht="24.75" customHeight="1">
      <c r="A88" s="483">
        <v>28</v>
      </c>
      <c r="B88" s="736" t="s">
        <v>281</v>
      </c>
      <c r="C88" s="718"/>
      <c r="D88" s="718"/>
      <c r="E88" s="718"/>
      <c r="F88"/>
    </row>
    <row r="89" spans="1:6" ht="12.75">
      <c r="A89" s="149"/>
      <c r="B89" s="149"/>
      <c r="C89" s="149"/>
      <c r="D89" s="149"/>
      <c r="E89" s="149"/>
      <c r="F89"/>
    </row>
    <row r="90" spans="1:5" ht="12.75">
      <c r="A90" s="419" t="s">
        <v>664</v>
      </c>
      <c r="B90" s="491"/>
      <c r="C90" s="491"/>
      <c r="D90" s="491"/>
      <c r="E90" s="491"/>
    </row>
    <row r="91" spans="1:6" ht="25.5" customHeight="1">
      <c r="A91" s="149"/>
      <c r="B91" s="386" t="s">
        <v>48</v>
      </c>
      <c r="C91" s="718" t="s">
        <v>493</v>
      </c>
      <c r="D91" s="718"/>
      <c r="E91" s="718"/>
      <c r="F91" s="66"/>
    </row>
    <row r="92" spans="1:6" ht="24" customHeight="1">
      <c r="A92" s="149"/>
      <c r="B92" s="386" t="s">
        <v>398</v>
      </c>
      <c r="C92" s="718" t="s">
        <v>300</v>
      </c>
      <c r="D92" s="718"/>
      <c r="E92" s="718"/>
      <c r="F92" s="66"/>
    </row>
    <row r="93" spans="1:6" ht="12.75" customHeight="1">
      <c r="A93" s="149"/>
      <c r="B93" s="396" t="s">
        <v>837</v>
      </c>
      <c r="C93" s="718" t="s">
        <v>838</v>
      </c>
      <c r="D93" s="718"/>
      <c r="E93" s="718"/>
      <c r="F93" s="66"/>
    </row>
    <row r="94" spans="1:6" ht="24" customHeight="1">
      <c r="A94" s="149"/>
      <c r="B94" s="396" t="s">
        <v>857</v>
      </c>
      <c r="C94" s="718" t="s">
        <v>67</v>
      </c>
      <c r="D94" s="718"/>
      <c r="E94" s="718"/>
      <c r="F94" s="66"/>
    </row>
    <row r="95" spans="1:6" ht="12.75" customHeight="1">
      <c r="A95" s="149"/>
      <c r="B95" s="396" t="s">
        <v>68</v>
      </c>
      <c r="C95" s="718" t="s">
        <v>616</v>
      </c>
      <c r="D95" s="718"/>
      <c r="E95" s="718"/>
      <c r="F95" s="66"/>
    </row>
    <row r="96" spans="1:6" ht="12.75" customHeight="1">
      <c r="A96" s="149"/>
      <c r="B96" s="396" t="s">
        <v>805</v>
      </c>
      <c r="C96" s="718" t="s">
        <v>774</v>
      </c>
      <c r="D96" s="718"/>
      <c r="E96" s="718"/>
      <c r="F96" s="66"/>
    </row>
    <row r="97" spans="1:6" ht="26.25" customHeight="1">
      <c r="A97" s="149"/>
      <c r="B97" s="396" t="s">
        <v>233</v>
      </c>
      <c r="C97" s="718" t="s">
        <v>443</v>
      </c>
      <c r="D97" s="718"/>
      <c r="E97" s="718"/>
      <c r="F97" s="66"/>
    </row>
    <row r="98" spans="1:6" ht="12.75" customHeight="1">
      <c r="A98" s="149"/>
      <c r="B98" s="396" t="s">
        <v>634</v>
      </c>
      <c r="C98" s="718" t="s">
        <v>617</v>
      </c>
      <c r="D98" s="718"/>
      <c r="E98" s="718"/>
      <c r="F98" s="66"/>
    </row>
    <row r="99" spans="1:6" ht="12.75">
      <c r="A99" s="149"/>
      <c r="B99" s="396" t="s">
        <v>633</v>
      </c>
      <c r="C99" s="718" t="s">
        <v>618</v>
      </c>
      <c r="D99" s="718"/>
      <c r="E99" s="718"/>
      <c r="F99" s="66"/>
    </row>
    <row r="100" spans="1:6" ht="12.75" customHeight="1">
      <c r="A100" s="149"/>
      <c r="B100" s="396" t="s">
        <v>358</v>
      </c>
      <c r="C100" s="718" t="s">
        <v>877</v>
      </c>
      <c r="D100" s="718"/>
      <c r="E100" s="718"/>
      <c r="F100" s="66"/>
    </row>
    <row r="101" spans="1:6" ht="24.75" customHeight="1">
      <c r="A101" s="149"/>
      <c r="B101" s="396" t="s">
        <v>23</v>
      </c>
      <c r="C101" s="718" t="s">
        <v>900</v>
      </c>
      <c r="D101" s="718"/>
      <c r="E101" s="718"/>
      <c r="F101" s="66"/>
    </row>
    <row r="102" spans="1:6" ht="12.75" customHeight="1">
      <c r="A102" s="149"/>
      <c r="B102" s="396" t="s">
        <v>237</v>
      </c>
      <c r="C102" s="718" t="s">
        <v>362</v>
      </c>
      <c r="D102" s="718"/>
      <c r="E102" s="718"/>
      <c r="F102" s="66"/>
    </row>
    <row r="103" spans="1:6" ht="12.75" customHeight="1">
      <c r="A103" s="149"/>
      <c r="B103" s="396" t="s">
        <v>901</v>
      </c>
      <c r="C103" s="718" t="s">
        <v>902</v>
      </c>
      <c r="D103" s="718"/>
      <c r="E103" s="718"/>
      <c r="F103" s="66"/>
    </row>
  </sheetData>
  <sheetProtection selectLockedCells="1"/>
  <mergeCells count="43">
    <mergeCell ref="C103:E103"/>
    <mergeCell ref="C97:E97"/>
    <mergeCell ref="C98:E98"/>
    <mergeCell ref="C99:E99"/>
    <mergeCell ref="C100:E100"/>
    <mergeCell ref="C101:E101"/>
    <mergeCell ref="C102:E102"/>
    <mergeCell ref="C96:E96"/>
    <mergeCell ref="B74:E74"/>
    <mergeCell ref="B71:E71"/>
    <mergeCell ref="B72:E72"/>
    <mergeCell ref="B76:E76"/>
    <mergeCell ref="B86:E86"/>
    <mergeCell ref="C93:E93"/>
    <mergeCell ref="C94:E94"/>
    <mergeCell ref="C92:E92"/>
    <mergeCell ref="C91:E91"/>
    <mergeCell ref="B75:E75"/>
    <mergeCell ref="B65:E65"/>
    <mergeCell ref="B66:E66"/>
    <mergeCell ref="B67:E67"/>
    <mergeCell ref="B68:E68"/>
    <mergeCell ref="B69:E69"/>
    <mergeCell ref="B73:E73"/>
    <mergeCell ref="A54:E54"/>
    <mergeCell ref="A55:E55"/>
    <mergeCell ref="B64:E64"/>
    <mergeCell ref="B70:E70"/>
    <mergeCell ref="B59:E59"/>
    <mergeCell ref="B60:E60"/>
    <mergeCell ref="B61:E61"/>
    <mergeCell ref="B62:E62"/>
    <mergeCell ref="B63:E63"/>
    <mergeCell ref="B84:E84"/>
    <mergeCell ref="C95:E95"/>
    <mergeCell ref="B85:E85"/>
    <mergeCell ref="B79:E79"/>
    <mergeCell ref="B81:E81"/>
    <mergeCell ref="B82:E82"/>
    <mergeCell ref="B83:E83"/>
    <mergeCell ref="B80:E80"/>
    <mergeCell ref="B87:E87"/>
    <mergeCell ref="B88:E88"/>
  </mergeCells>
  <printOptions/>
  <pageMargins left="0.5" right="0.5" top="0.35" bottom="0.4" header="0.35" footer="0.4"/>
  <pageSetup fitToHeight="3" orientation="landscape" scale="93" r:id="rId3"/>
  <headerFooter alignWithMargins="0">
    <oddFooter>&amp;L&amp;8November 2011 Version</oddFooter>
  </headerFooter>
  <rowBreaks count="2" manualBreakCount="2">
    <brk id="51" max="255" man="1"/>
    <brk id="89" max="255" man="1"/>
  </rowBreaks>
  <drawing r:id="rId2"/>
  <legacyDrawing r:id="rId1"/>
</worksheet>
</file>

<file path=xl/worksheets/sheet9.xml><?xml version="1.0" encoding="utf-8"?>
<worksheet xmlns="http://schemas.openxmlformats.org/spreadsheetml/2006/main" xmlns:r="http://schemas.openxmlformats.org/officeDocument/2006/relationships">
  <sheetPr codeName="Sheet27">
    <tabColor indexed="50"/>
    <pageSetUpPr fitToPage="1"/>
  </sheetPr>
  <dimension ref="A1:T93"/>
  <sheetViews>
    <sheetView zoomScaleSheetLayoutView="50" zoomScalePageLayoutView="0" workbookViewId="0" topLeftCell="A1">
      <selection activeCell="C11" sqref="C11"/>
    </sheetView>
  </sheetViews>
  <sheetFormatPr defaultColWidth="8.8515625" defaultRowHeight="12.75"/>
  <cols>
    <col min="1" max="1" width="9.7109375" style="0" customWidth="1"/>
    <col min="2" max="2" width="41.140625" style="0" customWidth="1"/>
    <col min="3" max="3" width="10.00390625" style="0" bestFit="1" customWidth="1"/>
    <col min="4" max="4" width="1.421875" style="0" customWidth="1"/>
    <col min="5" max="5" width="52.421875" style="0" customWidth="1"/>
    <col min="6" max="6" width="5.8515625" style="0" customWidth="1"/>
    <col min="7" max="7" width="10.140625" style="0" customWidth="1"/>
    <col min="8" max="8" width="31.28125" style="0" customWidth="1"/>
    <col min="10" max="11" width="8.8515625" style="0" customWidth="1"/>
  </cols>
  <sheetData>
    <row r="1" ht="14.25" customHeight="1">
      <c r="A1" s="38" t="s">
        <v>687</v>
      </c>
    </row>
    <row r="2" ht="12.75">
      <c r="A2" s="32" t="s">
        <v>278</v>
      </c>
    </row>
    <row r="3" ht="12.75">
      <c r="A3" s="32" t="s">
        <v>547</v>
      </c>
    </row>
    <row r="9" spans="1:5" ht="12.75">
      <c r="A9" s="423" t="s">
        <v>666</v>
      </c>
      <c r="E9" s="44"/>
    </row>
    <row r="10" ht="13.5" thickBot="1">
      <c r="A10" s="1" t="s">
        <v>412</v>
      </c>
    </row>
    <row r="11" spans="1:6" ht="12.75">
      <c r="A11" s="425">
        <v>1</v>
      </c>
      <c r="B11" s="48" t="s">
        <v>519</v>
      </c>
      <c r="C11" s="594"/>
      <c r="D11" s="15"/>
      <c r="E11" s="16" t="s">
        <v>213</v>
      </c>
      <c r="F11" s="7"/>
    </row>
    <row r="12" spans="1:6" ht="12.75">
      <c r="A12" s="425">
        <v>2</v>
      </c>
      <c r="B12" s="84" t="s">
        <v>801</v>
      </c>
      <c r="C12" s="595"/>
      <c r="D12" s="7"/>
      <c r="E12" s="8"/>
      <c r="F12" s="7"/>
    </row>
    <row r="13" spans="1:6" ht="12.75">
      <c r="A13" s="425">
        <v>3</v>
      </c>
      <c r="B13" s="84" t="s">
        <v>802</v>
      </c>
      <c r="C13" s="596"/>
      <c r="D13" s="7"/>
      <c r="E13" s="73" t="s">
        <v>488</v>
      </c>
      <c r="F13" s="7"/>
    </row>
    <row r="14" spans="1:6" ht="13.5" thickBot="1">
      <c r="A14" s="425">
        <v>4</v>
      </c>
      <c r="B14" s="201" t="s">
        <v>368</v>
      </c>
      <c r="C14" s="130" t="str">
        <f>IF(OR(C12="No",C13&lt;0.5),"Yes",IF(AND(C12="Yes",C13&gt;=0.5),"No"," "))</f>
        <v>Yes</v>
      </c>
      <c r="D14" s="10"/>
      <c r="E14" s="124"/>
      <c r="F14" s="7"/>
    </row>
    <row r="15" spans="2:6" ht="13.5" thickBot="1">
      <c r="B15" s="161"/>
      <c r="C15" s="132"/>
      <c r="D15" s="18"/>
      <c r="E15" s="131"/>
      <c r="F15" s="7"/>
    </row>
    <row r="16" spans="1:6" ht="12.75">
      <c r="A16" s="425">
        <v>5</v>
      </c>
      <c r="B16" s="96" t="s">
        <v>733</v>
      </c>
      <c r="C16" s="594"/>
      <c r="D16" s="15"/>
      <c r="E16" s="123" t="s">
        <v>803</v>
      </c>
      <c r="F16" s="7"/>
    </row>
    <row r="17" spans="1:6" ht="12.75">
      <c r="A17" s="425">
        <v>6</v>
      </c>
      <c r="B17" s="84" t="s">
        <v>734</v>
      </c>
      <c r="C17" s="602">
        <v>0.35</v>
      </c>
      <c r="D17" s="7"/>
      <c r="E17" s="74" t="s">
        <v>291</v>
      </c>
      <c r="F17" s="2"/>
    </row>
    <row r="18" spans="1:6" ht="12.75">
      <c r="A18" s="425"/>
      <c r="B18" s="84" t="s">
        <v>735</v>
      </c>
      <c r="C18" s="602">
        <v>4</v>
      </c>
      <c r="D18" s="7"/>
      <c r="E18" s="74" t="s">
        <v>557</v>
      </c>
      <c r="F18" s="2"/>
    </row>
    <row r="19" spans="1:6" ht="12.75" hidden="1">
      <c r="A19" s="425"/>
      <c r="B19" s="84" t="s">
        <v>806</v>
      </c>
      <c r="C19" s="77">
        <v>2</v>
      </c>
      <c r="D19" s="7"/>
      <c r="E19" s="74" t="s">
        <v>11</v>
      </c>
      <c r="F19" s="2"/>
    </row>
    <row r="20" spans="1:6" ht="12.75">
      <c r="A20" s="425">
        <v>7</v>
      </c>
      <c r="B20" s="84" t="s">
        <v>242</v>
      </c>
      <c r="C20" s="595"/>
      <c r="D20" s="7"/>
      <c r="E20" s="74" t="s">
        <v>804</v>
      </c>
      <c r="F20" s="2"/>
    </row>
    <row r="21" spans="1:6" ht="13.5" thickBot="1">
      <c r="A21" s="425">
        <v>8</v>
      </c>
      <c r="B21" s="17" t="s">
        <v>293</v>
      </c>
      <c r="C21" s="606">
        <v>1</v>
      </c>
      <c r="D21" s="10"/>
      <c r="E21" s="124" t="s">
        <v>417</v>
      </c>
      <c r="F21" s="7"/>
    </row>
    <row r="22" spans="2:6" ht="13.5" thickBot="1">
      <c r="B22" s="2"/>
      <c r="C22" s="7"/>
      <c r="D22" s="7"/>
      <c r="E22" s="7"/>
      <c r="F22" s="7"/>
    </row>
    <row r="23" spans="2:6" ht="13.5" hidden="1" thickBot="1">
      <c r="B23" s="125" t="s">
        <v>365</v>
      </c>
      <c r="C23" s="177" t="e">
        <f>C21*C18/12*(C16+C20/2)/C16</f>
        <v>#DIV/0!</v>
      </c>
      <c r="D23" s="69"/>
      <c r="E23" s="145" t="s">
        <v>381</v>
      </c>
      <c r="F23" s="3"/>
    </row>
    <row r="24" spans="1:6" ht="12.75">
      <c r="A24" s="425">
        <v>9</v>
      </c>
      <c r="B24" s="137" t="s">
        <v>630</v>
      </c>
      <c r="C24" s="134" t="e">
        <f>$C$11/(C20+C23)</f>
        <v>#DIV/0!</v>
      </c>
      <c r="D24" s="83"/>
      <c r="E24" s="33" t="s">
        <v>208</v>
      </c>
      <c r="F24" s="2"/>
    </row>
    <row r="25" spans="1:6" ht="12.75">
      <c r="A25" s="425">
        <v>10</v>
      </c>
      <c r="B25" s="84" t="s">
        <v>808</v>
      </c>
      <c r="C25" s="597"/>
      <c r="D25" s="7"/>
      <c r="E25" s="73" t="s">
        <v>208</v>
      </c>
      <c r="F25" s="3"/>
    </row>
    <row r="26" spans="1:6" ht="13.5" thickBot="1">
      <c r="A26" s="425">
        <v>11</v>
      </c>
      <c r="B26" s="126" t="s">
        <v>367</v>
      </c>
      <c r="C26" s="204" t="e">
        <f>C24/C25</f>
        <v>#DIV/0!</v>
      </c>
      <c r="D26" s="10"/>
      <c r="E26" s="127" t="s">
        <v>935</v>
      </c>
      <c r="F26" s="3"/>
    </row>
    <row r="27" ht="13.5" thickBot="1">
      <c r="B27" s="3"/>
    </row>
    <row r="28" spans="1:6" ht="13.5" thickBot="1">
      <c r="A28" s="425">
        <v>12</v>
      </c>
      <c r="B28" s="409" t="s">
        <v>500</v>
      </c>
      <c r="C28" s="410" t="str">
        <f>IF(C14="Yes","N/A",C11/(C24*C13/C19/12))</f>
        <v>N/A</v>
      </c>
      <c r="D28" s="18"/>
      <c r="E28" s="411" t="s">
        <v>374</v>
      </c>
      <c r="F28" s="3"/>
    </row>
    <row r="29" spans="2:11" ht="12.75" hidden="1">
      <c r="B29" s="84" t="s">
        <v>505</v>
      </c>
      <c r="C29" s="185" t="e">
        <f>C$11*C$16/(C$24*C$18/12*(C$16+C$20/2))</f>
        <v>#DIV/0!</v>
      </c>
      <c r="D29" s="7"/>
      <c r="E29" s="73" t="s">
        <v>461</v>
      </c>
      <c r="F29" s="3"/>
      <c r="G29" s="75" t="s">
        <v>501</v>
      </c>
      <c r="H29" s="84" t="s">
        <v>505</v>
      </c>
      <c r="I29" s="185" t="e">
        <f>C47*C$39/(C34*C$41/12*(C$39+C$43/2))</f>
        <v>#DIV/0!</v>
      </c>
      <c r="J29" s="7"/>
      <c r="K29" s="73" t="s">
        <v>499</v>
      </c>
    </row>
    <row r="30" spans="2:11" ht="12.75" hidden="1">
      <c r="B30" s="84" t="s">
        <v>696</v>
      </c>
      <c r="C30" s="78">
        <v>12</v>
      </c>
      <c r="D30" s="2"/>
      <c r="E30" s="74" t="s">
        <v>366</v>
      </c>
      <c r="F30" s="2"/>
      <c r="G30" s="75" t="s">
        <v>501</v>
      </c>
      <c r="H30" s="47" t="s">
        <v>697</v>
      </c>
      <c r="I30" s="78">
        <v>12</v>
      </c>
      <c r="J30" s="2"/>
      <c r="K30" s="74" t="s">
        <v>366</v>
      </c>
    </row>
    <row r="31" spans="2:11" ht="13.5" hidden="1" thickBot="1">
      <c r="B31" s="333" t="s">
        <v>524</v>
      </c>
      <c r="C31" s="408">
        <f>IF(AND(C14="No",C28&lt;=48),"N/A",(C11/(C30*60*60))*7.48*60)</f>
        <v>0</v>
      </c>
      <c r="D31" s="51"/>
      <c r="E31" s="127" t="s">
        <v>416</v>
      </c>
      <c r="F31" s="3"/>
      <c r="G31" s="75" t="s">
        <v>501</v>
      </c>
      <c r="H31" s="333" t="s">
        <v>524</v>
      </c>
      <c r="I31" s="408" t="e">
        <f>IF(AND(C37="No",C51&lt;=48),"N/A",(C47/(I30*60*60))*7.48*60)</f>
        <v>#DIV/0!</v>
      </c>
      <c r="J31" s="51"/>
      <c r="K31" s="127" t="s">
        <v>1008</v>
      </c>
    </row>
    <row r="32" spans="2:5" ht="12.75">
      <c r="B32" s="35"/>
      <c r="C32" s="407"/>
      <c r="D32" s="3"/>
      <c r="E32" s="35"/>
    </row>
    <row r="33" spans="1:5" ht="13.5" thickBot="1">
      <c r="A33" s="1" t="s">
        <v>413</v>
      </c>
      <c r="C33" s="407"/>
      <c r="D33" s="3"/>
      <c r="E33" s="35"/>
    </row>
    <row r="34" spans="1:5" ht="12.75">
      <c r="A34" s="425">
        <v>13</v>
      </c>
      <c r="B34" s="48" t="s">
        <v>299</v>
      </c>
      <c r="C34" s="594"/>
      <c r="D34" s="15"/>
      <c r="E34" s="16" t="s">
        <v>208</v>
      </c>
    </row>
    <row r="35" spans="1:5" ht="12.75">
      <c r="A35" s="425">
        <v>14</v>
      </c>
      <c r="B35" s="84" t="s">
        <v>801</v>
      </c>
      <c r="C35" s="595"/>
      <c r="D35" s="7"/>
      <c r="E35" s="8"/>
    </row>
    <row r="36" spans="1:5" ht="12.75">
      <c r="A36" s="425">
        <v>15</v>
      </c>
      <c r="B36" s="311" t="s">
        <v>912</v>
      </c>
      <c r="C36" s="596"/>
      <c r="D36" s="7"/>
      <c r="E36" s="73" t="s">
        <v>605</v>
      </c>
    </row>
    <row r="37" spans="1:5" ht="13.5" thickBot="1">
      <c r="A37" s="425">
        <v>16</v>
      </c>
      <c r="B37" s="201" t="s">
        <v>368</v>
      </c>
      <c r="C37" s="130" t="str">
        <f>IF(OR(C35="No",C36&lt;0.5),"Yes",IF(AND(C35="Yes",C36&gt;=0.5),"No"," "))</f>
        <v>Yes</v>
      </c>
      <c r="D37" s="10"/>
      <c r="E37" s="124"/>
    </row>
    <row r="38" spans="2:5" ht="13.5" thickBot="1">
      <c r="B38" s="161"/>
      <c r="C38" s="132"/>
      <c r="D38" s="18"/>
      <c r="E38" s="131"/>
    </row>
    <row r="39" spans="1:5" ht="12.75">
      <c r="A39" s="425">
        <v>17</v>
      </c>
      <c r="B39" s="96" t="s">
        <v>733</v>
      </c>
      <c r="C39" s="594"/>
      <c r="D39" s="15"/>
      <c r="E39" s="123" t="s">
        <v>637</v>
      </c>
    </row>
    <row r="40" spans="1:5" ht="12.75">
      <c r="A40" s="425">
        <v>18</v>
      </c>
      <c r="B40" s="84" t="s">
        <v>734</v>
      </c>
      <c r="C40" s="602">
        <v>0.35</v>
      </c>
      <c r="D40" s="7"/>
      <c r="E40" s="74" t="s">
        <v>291</v>
      </c>
    </row>
    <row r="41" spans="1:5" ht="12.75">
      <c r="A41" s="425"/>
      <c r="B41" s="84" t="s">
        <v>735</v>
      </c>
      <c r="C41" s="602">
        <v>4</v>
      </c>
      <c r="D41" s="7"/>
      <c r="E41" s="74" t="s">
        <v>807</v>
      </c>
    </row>
    <row r="42" spans="1:5" ht="12.75">
      <c r="A42" s="425"/>
      <c r="B42" s="84" t="s">
        <v>806</v>
      </c>
      <c r="C42" s="602">
        <v>2</v>
      </c>
      <c r="D42" s="7"/>
      <c r="E42" s="74" t="s">
        <v>444</v>
      </c>
    </row>
    <row r="43" spans="1:5" ht="12.75">
      <c r="A43" s="425">
        <v>19</v>
      </c>
      <c r="B43" s="84" t="s">
        <v>242</v>
      </c>
      <c r="C43" s="595"/>
      <c r="D43" s="7"/>
      <c r="E43" s="74" t="s">
        <v>804</v>
      </c>
    </row>
    <row r="44" spans="1:5" ht="13.5" thickBot="1">
      <c r="A44" s="425">
        <v>20</v>
      </c>
      <c r="B44" s="17" t="s">
        <v>293</v>
      </c>
      <c r="C44" s="606">
        <v>1</v>
      </c>
      <c r="D44" s="10"/>
      <c r="E44" s="124" t="s">
        <v>417</v>
      </c>
    </row>
    <row r="45" spans="2:5" ht="12.75">
      <c r="B45" s="2"/>
      <c r="C45" s="7"/>
      <c r="D45" s="7"/>
      <c r="E45" s="7"/>
    </row>
    <row r="46" ht="13.5" thickBot="1">
      <c r="B46" s="3"/>
    </row>
    <row r="47" spans="1:5" ht="12.75">
      <c r="A47" s="425">
        <v>21</v>
      </c>
      <c r="B47" s="199" t="s">
        <v>298</v>
      </c>
      <c r="C47" s="205" t="e">
        <f>C34*(C43+C41/12*C44*(C39+C43/2)/C39)</f>
        <v>#DIV/0!</v>
      </c>
      <c r="D47" s="83"/>
      <c r="E47" s="33" t="s">
        <v>213</v>
      </c>
    </row>
    <row r="48" spans="1:5" ht="12.75">
      <c r="A48" s="425">
        <v>22</v>
      </c>
      <c r="B48" s="84" t="s">
        <v>808</v>
      </c>
      <c r="C48" s="597"/>
      <c r="D48" s="2"/>
      <c r="E48" s="74" t="s">
        <v>208</v>
      </c>
    </row>
    <row r="49" spans="1:5" ht="13.5" thickBot="1">
      <c r="A49" s="425">
        <v>23</v>
      </c>
      <c r="B49" s="126" t="s">
        <v>367</v>
      </c>
      <c r="C49" s="204" t="e">
        <f>C34/C48</f>
        <v>#DIV/0!</v>
      </c>
      <c r="D49" s="10"/>
      <c r="E49" s="127" t="s">
        <v>935</v>
      </c>
    </row>
    <row r="50" spans="1:2" ht="13.5" thickBot="1">
      <c r="A50" s="466"/>
      <c r="B50" s="3"/>
    </row>
    <row r="51" spans="1:5" ht="13.5" thickBot="1">
      <c r="A51" s="425">
        <v>24</v>
      </c>
      <c r="B51" s="409" t="s">
        <v>415</v>
      </c>
      <c r="C51" s="410" t="e">
        <f>IF(C37="Yes",C47*C$39/(C34*C$41/12*(C$39+C$43/2)),C47/(C34*C36/C42/12))</f>
        <v>#DIV/0!</v>
      </c>
      <c r="D51" s="18"/>
      <c r="E51" s="411" t="s">
        <v>374</v>
      </c>
    </row>
    <row r="52" spans="2:5" ht="12.75">
      <c r="B52" s="35"/>
      <c r="C52" s="407"/>
      <c r="D52" s="3"/>
      <c r="E52" s="35"/>
    </row>
    <row r="53" ht="12.75">
      <c r="A53" s="1" t="s">
        <v>663</v>
      </c>
    </row>
    <row r="54" ht="12.75">
      <c r="A54" s="44" t="s">
        <v>407</v>
      </c>
    </row>
    <row r="55" ht="12.75">
      <c r="A55" s="1"/>
    </row>
    <row r="56" ht="12.75">
      <c r="A56" s="55" t="s">
        <v>584</v>
      </c>
    </row>
    <row r="57" spans="1:20" ht="12.75">
      <c r="A57" s="1" t="s">
        <v>587</v>
      </c>
      <c r="B57" s="1"/>
      <c r="C57" s="1"/>
      <c r="D57" s="1"/>
      <c r="E57" s="1"/>
      <c r="F57" s="1"/>
      <c r="G57" s="1"/>
      <c r="H57" s="1"/>
      <c r="I57" s="1"/>
      <c r="J57" s="1"/>
      <c r="K57" s="1"/>
      <c r="L57" s="1"/>
      <c r="M57" s="1"/>
      <c r="N57" s="1"/>
      <c r="O57" s="1"/>
      <c r="P57" s="1"/>
      <c r="Q57" s="1"/>
      <c r="R57" s="1"/>
      <c r="S57" s="1"/>
      <c r="T57" s="1"/>
    </row>
    <row r="58" spans="1:8" ht="26.25" customHeight="1">
      <c r="A58" s="483">
        <v>1</v>
      </c>
      <c r="B58" s="729" t="s">
        <v>834</v>
      </c>
      <c r="C58" s="718"/>
      <c r="D58" s="718"/>
      <c r="E58" s="718"/>
      <c r="F58" s="718"/>
      <c r="G58" s="718"/>
      <c r="H58" s="718"/>
    </row>
    <row r="59" spans="1:8" ht="12.75">
      <c r="A59" s="483">
        <v>2</v>
      </c>
      <c r="B59" s="148" t="s">
        <v>418</v>
      </c>
      <c r="C59" s="149"/>
      <c r="D59" s="149"/>
      <c r="E59" s="149"/>
      <c r="F59" s="149"/>
      <c r="G59" s="149"/>
      <c r="H59" s="149"/>
    </row>
    <row r="60" spans="1:8" ht="12.75">
      <c r="A60" s="483">
        <v>3</v>
      </c>
      <c r="B60" s="149" t="s">
        <v>858</v>
      </c>
      <c r="C60" s="149"/>
      <c r="D60" s="149"/>
      <c r="E60" s="149"/>
      <c r="F60" s="149"/>
      <c r="G60" s="149"/>
      <c r="H60" s="149"/>
    </row>
    <row r="61" spans="1:8" ht="12.75">
      <c r="A61" s="483">
        <v>4</v>
      </c>
      <c r="B61" s="148" t="s">
        <v>419</v>
      </c>
      <c r="C61" s="149"/>
      <c r="D61" s="149"/>
      <c r="E61" s="149"/>
      <c r="F61" s="149"/>
      <c r="G61" s="149"/>
      <c r="H61" s="149"/>
    </row>
    <row r="62" spans="1:8" ht="12.75">
      <c r="A62" s="483">
        <v>5</v>
      </c>
      <c r="B62" s="148" t="s">
        <v>736</v>
      </c>
      <c r="C62" s="149"/>
      <c r="D62" s="149"/>
      <c r="E62" s="149"/>
      <c r="F62" s="149"/>
      <c r="G62" s="149"/>
      <c r="H62" s="149"/>
    </row>
    <row r="63" spans="1:8" ht="25.5" customHeight="1">
      <c r="A63" s="483">
        <v>6</v>
      </c>
      <c r="B63" s="717" t="s">
        <v>739</v>
      </c>
      <c r="C63" s="717"/>
      <c r="D63" s="717"/>
      <c r="E63" s="717"/>
      <c r="F63" s="717"/>
      <c r="G63" s="717"/>
      <c r="H63" s="717"/>
    </row>
    <row r="64" spans="1:8" ht="12.75">
      <c r="A64" s="483">
        <v>7</v>
      </c>
      <c r="B64" s="148" t="s">
        <v>1006</v>
      </c>
      <c r="C64" s="149"/>
      <c r="D64" s="149"/>
      <c r="E64" s="149"/>
      <c r="F64" s="149"/>
      <c r="G64" s="149"/>
      <c r="H64" s="149"/>
    </row>
    <row r="65" spans="1:8" ht="12.75">
      <c r="A65" s="483">
        <v>8</v>
      </c>
      <c r="B65" s="148" t="s">
        <v>241</v>
      </c>
      <c r="C65" s="149"/>
      <c r="D65" s="149"/>
      <c r="E65" s="149"/>
      <c r="F65" s="149"/>
      <c r="G65" s="149"/>
      <c r="H65" s="149"/>
    </row>
    <row r="66" spans="1:8" ht="12.75">
      <c r="A66" s="483">
        <v>9</v>
      </c>
      <c r="B66" s="148" t="s">
        <v>575</v>
      </c>
      <c r="C66" s="149"/>
      <c r="D66" s="149"/>
      <c r="E66" s="149"/>
      <c r="F66" s="149"/>
      <c r="G66" s="149"/>
      <c r="H66" s="149"/>
    </row>
    <row r="67" spans="1:8" ht="12.75" customHeight="1">
      <c r="A67" s="483">
        <v>10</v>
      </c>
      <c r="B67" s="148" t="s">
        <v>305</v>
      </c>
      <c r="C67" s="149"/>
      <c r="D67" s="149"/>
      <c r="E67" s="149"/>
      <c r="F67" s="149"/>
      <c r="G67" s="149"/>
      <c r="H67" s="149"/>
    </row>
    <row r="68" spans="1:8" ht="12.75">
      <c r="A68" s="483">
        <v>11</v>
      </c>
      <c r="B68" s="148" t="s">
        <v>546</v>
      </c>
      <c r="C68" s="149"/>
      <c r="D68" s="149"/>
      <c r="E68" s="149"/>
      <c r="F68" s="149"/>
      <c r="G68" s="149"/>
      <c r="H68" s="149"/>
    </row>
    <row r="69" spans="1:8" ht="12.75">
      <c r="A69" s="483">
        <v>12</v>
      </c>
      <c r="B69" s="148" t="s">
        <v>502</v>
      </c>
      <c r="C69" s="149"/>
      <c r="D69" s="149"/>
      <c r="E69" s="149"/>
      <c r="F69" s="149"/>
      <c r="G69" s="149"/>
      <c r="H69" s="149"/>
    </row>
    <row r="70" spans="1:2" ht="12.75">
      <c r="A70" s="149"/>
      <c r="B70" s="32"/>
    </row>
    <row r="71" ht="12.75">
      <c r="A71" s="23" t="s">
        <v>436</v>
      </c>
    </row>
    <row r="72" spans="1:2" ht="12.75">
      <c r="A72" s="483">
        <v>13</v>
      </c>
      <c r="B72" s="32" t="s">
        <v>414</v>
      </c>
    </row>
    <row r="73" spans="1:2" ht="12.75">
      <c r="A73" s="483">
        <v>14</v>
      </c>
      <c r="B73" s="32" t="s">
        <v>418</v>
      </c>
    </row>
    <row r="74" spans="1:2" ht="12.75">
      <c r="A74" s="483">
        <v>15</v>
      </c>
      <c r="B74" t="s">
        <v>858</v>
      </c>
    </row>
    <row r="75" spans="1:2" ht="12.75">
      <c r="A75" s="483">
        <v>16</v>
      </c>
      <c r="B75" s="32" t="s">
        <v>359</v>
      </c>
    </row>
    <row r="76" spans="1:2" ht="12.75">
      <c r="A76" s="483">
        <v>17</v>
      </c>
      <c r="B76" s="32" t="s">
        <v>736</v>
      </c>
    </row>
    <row r="77" spans="1:2" ht="12.75">
      <c r="A77" s="483">
        <v>18</v>
      </c>
      <c r="B77" s="32" t="s">
        <v>740</v>
      </c>
    </row>
    <row r="78" spans="1:2" ht="12.75">
      <c r="A78" s="483">
        <v>19</v>
      </c>
      <c r="B78" s="32" t="s">
        <v>673</v>
      </c>
    </row>
    <row r="79" spans="1:2" ht="12.75">
      <c r="A79" s="483">
        <v>20</v>
      </c>
      <c r="B79" s="32" t="s">
        <v>241</v>
      </c>
    </row>
    <row r="80" spans="1:2" ht="12.75">
      <c r="A80" s="483">
        <v>21</v>
      </c>
      <c r="B80" s="32" t="s">
        <v>676</v>
      </c>
    </row>
    <row r="81" spans="1:2" ht="12.75">
      <c r="A81" s="483">
        <v>22</v>
      </c>
      <c r="B81" s="32" t="s">
        <v>305</v>
      </c>
    </row>
    <row r="82" spans="1:2" ht="12.75">
      <c r="A82" s="483">
        <v>23</v>
      </c>
      <c r="B82" s="32" t="s">
        <v>745</v>
      </c>
    </row>
    <row r="83" spans="1:2" ht="12.75">
      <c r="A83" s="483">
        <v>24</v>
      </c>
      <c r="B83" s="148" t="s">
        <v>502</v>
      </c>
    </row>
    <row r="84" ht="12.75">
      <c r="B84" s="148"/>
    </row>
    <row r="85" spans="1:5" ht="12.75">
      <c r="A85" s="419" t="s">
        <v>664</v>
      </c>
      <c r="B85" s="35"/>
      <c r="C85" s="407"/>
      <c r="D85" s="3"/>
      <c r="E85" s="35"/>
    </row>
    <row r="86" spans="2:8" ht="24" customHeight="1">
      <c r="B86" s="386" t="s">
        <v>48</v>
      </c>
      <c r="C86" s="718" t="s">
        <v>493</v>
      </c>
      <c r="D86" s="718"/>
      <c r="E86" s="718"/>
      <c r="F86" s="718"/>
      <c r="G86" s="718"/>
      <c r="H86" s="718"/>
    </row>
    <row r="87" spans="2:9" ht="25.5" customHeight="1">
      <c r="B87" s="386" t="s">
        <v>429</v>
      </c>
      <c r="C87" s="736" t="s">
        <v>528</v>
      </c>
      <c r="D87" s="718"/>
      <c r="E87" s="718"/>
      <c r="F87" s="718"/>
      <c r="G87" s="718"/>
      <c r="H87" s="718"/>
      <c r="I87" s="379"/>
    </row>
    <row r="88" spans="2:8" ht="24.75" customHeight="1">
      <c r="B88" s="386" t="s">
        <v>233</v>
      </c>
      <c r="C88" s="729" t="s">
        <v>443</v>
      </c>
      <c r="D88" s="718"/>
      <c r="E88" s="718"/>
      <c r="F88" s="718"/>
      <c r="G88" s="718"/>
      <c r="H88" s="718"/>
    </row>
    <row r="89" spans="2:8" ht="12.75">
      <c r="B89" s="396" t="s">
        <v>234</v>
      </c>
      <c r="C89" s="148" t="s">
        <v>435</v>
      </c>
      <c r="D89" s="149"/>
      <c r="E89" s="149"/>
      <c r="F89" s="149"/>
      <c r="G89" s="149"/>
      <c r="H89" s="149"/>
    </row>
    <row r="90" spans="2:8" ht="12.75">
      <c r="B90" s="396" t="s">
        <v>805</v>
      </c>
      <c r="C90" s="148" t="s">
        <v>338</v>
      </c>
      <c r="D90" s="149"/>
      <c r="E90" s="149"/>
      <c r="F90" s="149"/>
      <c r="G90" s="149"/>
      <c r="H90" s="149"/>
    </row>
    <row r="91" spans="2:8" ht="12.75">
      <c r="B91" s="396" t="s">
        <v>357</v>
      </c>
      <c r="C91" s="148" t="s">
        <v>339</v>
      </c>
      <c r="D91" s="149"/>
      <c r="E91" s="149"/>
      <c r="F91" s="149"/>
      <c r="G91" s="149"/>
      <c r="H91" s="149"/>
    </row>
    <row r="92" spans="2:8" ht="12.75">
      <c r="B92" s="396" t="s">
        <v>358</v>
      </c>
      <c r="C92" s="148" t="s">
        <v>294</v>
      </c>
      <c r="D92" s="149"/>
      <c r="E92" s="149"/>
      <c r="F92" s="149"/>
      <c r="G92" s="149"/>
      <c r="H92" s="149"/>
    </row>
    <row r="93" spans="2:8" ht="12.75">
      <c r="B93" s="396" t="s">
        <v>113</v>
      </c>
      <c r="C93" s="148" t="s">
        <v>362</v>
      </c>
      <c r="D93" s="149"/>
      <c r="E93" s="149"/>
      <c r="F93" s="149"/>
      <c r="G93" s="149"/>
      <c r="H93" s="149"/>
    </row>
  </sheetData>
  <sheetProtection selectLockedCells="1"/>
  <mergeCells count="5">
    <mergeCell ref="B58:H58"/>
    <mergeCell ref="C87:H87"/>
    <mergeCell ref="C88:H88"/>
    <mergeCell ref="B63:H63"/>
    <mergeCell ref="C86:H86"/>
  </mergeCells>
  <dataValidations count="1">
    <dataValidation type="list" allowBlank="1" showInputMessage="1" showErrorMessage="1" sqref="C12 C35">
      <formula1>"Yes, No"</formula1>
    </dataValidation>
  </dataValidations>
  <printOptions/>
  <pageMargins left="0.5" right="0.5" top="0.35" bottom="0.4" header="0.35" footer="0.4"/>
  <pageSetup fitToHeight="0" fitToWidth="1" horizontalDpi="600" verticalDpi="600" orientation="landscape" scale="80" r:id="rId3"/>
  <headerFooter alignWithMargins="0">
    <oddFooter>&amp;L&amp;8November 2011 Version</oddFooter>
  </headerFooter>
  <rowBreaks count="1" manualBreakCount="1">
    <brk id="52" max="7"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Hydroconsult Engineers,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SFPUC and Port of SF</dc:creator>
  <cp:keywords/>
  <dc:description/>
  <cp:lastModifiedBy>Ken Kortkamp</cp:lastModifiedBy>
  <cp:lastPrinted>2011-11-21T20:50:05Z</cp:lastPrinted>
  <dcterms:created xsi:type="dcterms:W3CDTF">2008-01-29T22:51:53Z</dcterms:created>
  <dcterms:modified xsi:type="dcterms:W3CDTF">2011-11-21T23:42:22Z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